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20" yWindow="-120" windowWidth="15480" windowHeight="8250"/>
  </bookViews>
  <sheets>
    <sheet name="Vergleich Pivater anschluss" sheetId="1" r:id="rId1"/>
  </sheets>
  <definedNames>
    <definedName name="_xlnm.Print_Area" localSheetId="0">'Vergleich Pivater anschluss'!$A$2:$I$113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2" i="1"/>
  <c r="C18" i="1"/>
  <c r="G62" i="1" l="1"/>
  <c r="G48" i="1"/>
  <c r="G51" i="1" s="1"/>
  <c r="C34" i="1" l="1"/>
  <c r="C108" i="1" l="1"/>
  <c r="C102" i="1"/>
  <c r="C40" i="1"/>
  <c r="B11" i="1" l="1"/>
  <c r="B12" i="1"/>
  <c r="C25" i="1" l="1"/>
  <c r="C39" i="1" l="1"/>
  <c r="G65" i="1" l="1"/>
  <c r="G35" i="1" l="1"/>
  <c r="G21" i="1"/>
  <c r="C41" i="1" l="1"/>
  <c r="C37" i="1"/>
  <c r="G37" i="1" l="1"/>
  <c r="C42" i="1"/>
  <c r="G36" i="1"/>
  <c r="C88" i="1" s="1"/>
  <c r="G38" i="1" l="1"/>
  <c r="G39" i="1" s="1"/>
  <c r="C81" i="1" s="1"/>
  <c r="C20" i="1" l="1"/>
  <c r="C23" i="1" s="1"/>
  <c r="C27" i="1"/>
  <c r="G23" i="1" l="1"/>
  <c r="C28" i="1"/>
  <c r="G24" i="1" s="1"/>
  <c r="C59" i="1"/>
  <c r="C63" i="1" s="1"/>
  <c r="C66" i="1" s="1"/>
  <c r="G22" i="1"/>
  <c r="C87" i="1" s="1"/>
  <c r="G53" i="1" l="1"/>
  <c r="C114" i="1"/>
  <c r="C51" i="1"/>
  <c r="C55" i="1" s="1"/>
  <c r="G54" i="1" s="1"/>
  <c r="C68" i="1"/>
  <c r="C70" i="1" s="1"/>
  <c r="G67" i="1" s="1"/>
  <c r="G25" i="1"/>
  <c r="C80" i="1" s="1"/>
  <c r="G55" i="1" l="1"/>
  <c r="C82" i="1" s="1"/>
  <c r="G52" i="1"/>
  <c r="C89" i="1" s="1"/>
  <c r="C71" i="1"/>
  <c r="C72" i="1" s="1"/>
  <c r="G66" i="1"/>
  <c r="C90" i="1" s="1"/>
  <c r="C94" i="1" l="1"/>
  <c r="C95" i="1"/>
  <c r="C96" i="1"/>
  <c r="G68" i="1"/>
  <c r="G69" i="1" s="1"/>
  <c r="C83" i="1" s="1"/>
  <c r="D96" i="1" l="1"/>
  <c r="B114" i="1"/>
  <c r="D95" i="1"/>
  <c r="B108" i="1"/>
  <c r="B102" i="1"/>
  <c r="D94" i="1"/>
</calcChain>
</file>

<file path=xl/comments1.xml><?xml version="1.0" encoding="utf-8"?>
<comments xmlns="http://schemas.openxmlformats.org/spreadsheetml/2006/main">
  <authors>
    <author>Windows-Benutzer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Windows-Benutzer:</t>
        </r>
        <r>
          <rPr>
            <sz val="9"/>
            <color indexed="81"/>
            <rFont val="Tahoma"/>
            <family val="2"/>
          </rPr>
          <t xml:space="preserve">
Hier wählen zwischen Öl und Gasheizung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 xml:space="preserve">Wagner:
</t>
        </r>
        <r>
          <rPr>
            <sz val="9"/>
            <color indexed="81"/>
            <rFont val="Tahoma"/>
            <family val="2"/>
          </rPr>
          <t>bei Gasheizungen die älter als 10 Jahre sind ist davon auszugehen dass keine Brennwertnutzung vorhanden ist - somit sinkt wirkungsgrad ab
Brennwertanlagen ca. 90 % Wirkungsgrad
normale anlagen ca. 80 % Wirkungsgrad</t>
        </r>
      </text>
    </comment>
    <comment ref="G18" authorId="0">
      <text>
        <r>
          <rPr>
            <sz val="9"/>
            <color indexed="81"/>
            <rFont val="Tahoma"/>
            <family val="2"/>
          </rPr>
          <t>Wagner:
Spanne liegt zwischen 14.000 und 22.000 €
einfach bei Heizungsbauer fragen und selber veränder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Wagner:</t>
        </r>
        <r>
          <rPr>
            <sz val="9"/>
            <color indexed="81"/>
            <rFont val="Tahoma"/>
            <family val="2"/>
          </rPr>
          <t xml:space="preserve">
kann selber bestimmt werden  schätzung Wagner = 1,40 Euro/Liter, Ölpreis  aktuell 13.09.2022 1,65 €/liter aufgrund Ukraine Krieg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Wagner:</t>
        </r>
        <r>
          <rPr>
            <sz val="9"/>
            <color indexed="81"/>
            <rFont val="Tahoma"/>
            <family val="2"/>
          </rPr>
          <t xml:space="preserve">
Aussage Energieberater Norm sogar nur bei 15 Jahre
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Wagner</t>
        </r>
        <r>
          <rPr>
            <sz val="9"/>
            <color indexed="81"/>
            <rFont val="Tahoma"/>
            <family val="2"/>
          </rPr>
          <t xml:space="preserve">
Durchschnittlicher Wirkungsgrad einer Ölheizung laut Energieberater ; Alter ca. 15 Jahre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Wagner 
laut Rechnung Kilowattstunden  Brennwert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 xml:space="preserve">Wagner:
</t>
        </r>
        <r>
          <rPr>
            <sz val="9"/>
            <color indexed="81"/>
            <rFont val="Tahoma"/>
            <family val="2"/>
          </rPr>
          <t>Spanne liegt zwischen 16.000 und 22.000 €
einfach bei Heizungsbauer fragen und selber verändern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 xml:space="preserve">Wagner:
</t>
        </r>
        <r>
          <rPr>
            <sz val="9"/>
            <color indexed="81"/>
            <rFont val="Tahoma"/>
            <family val="2"/>
          </rPr>
          <t xml:space="preserve">Schätzung bei 15 Cent brutto je kwh
kann aber auch selber verändert werden; Aussage Energieberater 15 Cent ; Gaspreise Aktuell (13.09.2022) bei 36 Cent wegen Krieg Ukraine,..
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 xml:space="preserve">Wagner:
</t>
        </r>
        <r>
          <rPr>
            <sz val="9"/>
            <color indexed="81"/>
            <rFont val="Tahoma"/>
            <family val="2"/>
          </rPr>
          <t>Aussage Energieberater Norm sogar nur bei 15 Jahre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Wagner</t>
        </r>
        <r>
          <rPr>
            <sz val="9"/>
            <color indexed="81"/>
            <rFont val="Tahoma"/>
            <family val="2"/>
          </rPr>
          <t xml:space="preserve">
Kilowatt Brennstoffenergie die tats bezogen worden sind (Faktor 1,11 umbrechnung von Heizwert auf Brennwert)
heizwert * 1,11 = brennwert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 xml:space="preserve">Wagner :
</t>
        </r>
        <r>
          <rPr>
            <sz val="9"/>
            <color indexed="81"/>
            <rFont val="Tahoma"/>
            <family val="2"/>
          </rPr>
          <t>bei Brennwertnutzung 90 % 
bei keiner Brennwertnutzung 80%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>nach benötigter Wärmemenge (netto) Gas und Ölheizung</t>
        </r>
      </text>
    </comment>
    <comment ref="G46" authorId="0">
      <text>
        <r>
          <rPr>
            <b/>
            <sz val="9"/>
            <color indexed="81"/>
            <rFont val="Tahoma"/>
            <family val="2"/>
          </rPr>
          <t xml:space="preserve">Wagner:
</t>
        </r>
        <r>
          <rPr>
            <sz val="9"/>
            <color indexed="81"/>
            <rFont val="Tahoma"/>
            <family val="2"/>
          </rPr>
          <t>Spanne liegt zwischen 30.000 und 40.000 €
Zusätzlich anfallende Kosten für Umrüstung 
(Niedrigenergieheizkörper, Fußbodenheizung, energetische Sanierung) + ca. 10.000 - 20.000 €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 xml:space="preserve">Wagner:
</t>
        </r>
        <r>
          <rPr>
            <sz val="9"/>
            <color indexed="81"/>
            <rFont val="Tahoma"/>
            <family val="2"/>
          </rPr>
          <t>Schätzung bei 60 Cent/kwh
selber schätzen wie hoch der Strompreis die nächsten Jahre sein wird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Windows-Benutzer:</t>
        </r>
        <r>
          <rPr>
            <sz val="9"/>
            <color indexed="81"/>
            <rFont val="Tahoma"/>
            <family val="2"/>
          </rPr>
          <t xml:space="preserve">
bei Austausch einer Ölheizung 45 % bei Austausch einer Gas oder Holzheizung 35 %
siehe Video Homepage- Bafa Förderung</t>
        </r>
      </text>
    </comment>
    <comment ref="C48" authorId="0">
      <text>
        <r>
          <rPr>
            <b/>
            <sz val="9"/>
            <color indexed="81"/>
            <rFont val="Tahoma"/>
            <charset val="1"/>
          </rPr>
          <t>Wagner:</t>
        </r>
        <r>
          <rPr>
            <sz val="9"/>
            <color indexed="81"/>
            <rFont val="Tahoma"/>
            <charset val="1"/>
          </rPr>
          <t xml:space="preserve">
Nach Aussage Energieberater: bei Altbau (keine gute energetische Bausubstanz, keine Niedrigenergieheizkörper, keine Fußbodenheizung) keine Installation Wärmepumpe sinnvoll/wirtschaftlich
Bei Altbau mit Umbau (Niedrigenergieheizkörper, Fußbodenheizung, energetische Sanierung) COP bei ca 2,5 - 3
Bei Neubauten auch höhere COP möglich</t>
        </r>
      </text>
    </comment>
    <comment ref="G50" authorId="0">
      <text>
        <r>
          <rPr>
            <b/>
            <sz val="9"/>
            <color indexed="81"/>
            <rFont val="Tahoma"/>
            <family val="2"/>
          </rPr>
          <t xml:space="preserve">Wagner:
</t>
        </r>
        <r>
          <rPr>
            <sz val="9"/>
            <color indexed="81"/>
            <rFont val="Tahoma"/>
            <family val="2"/>
          </rPr>
          <t>Aussage Energieberater Norm sogar nur bei 15 Jahre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 xml:space="preserve">Wagner:
</t>
        </r>
        <r>
          <rPr>
            <sz val="9"/>
            <color indexed="81"/>
            <rFont val="Tahoma"/>
            <family val="2"/>
          </rPr>
          <t>Beinhaltet:
- ganze Erdarbeiten - vollständiger Hausanschluss,
- Übergabestation
- Übergabestation primärseitig verrohrt 
alle Preise sind inklusiv der aktuell gültigen Mwst.
Einfamilenhaus 8.500 €
Mehrfamilienhaus (ab 2 Wohneinheiten) 9.000 €
Großabnehmer ab 5 Wohneinheiten wird individuell veranschlagt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9,5</t>
        </r>
        <r>
          <rPr>
            <sz val="9"/>
            <color indexed="81"/>
            <rFont val="Tahoma"/>
            <family val="2"/>
          </rPr>
          <t xml:space="preserve"> Cent netto = 11,3 Cent (bei 19%) und 10,16 Cent (7%)
dann Inflationsausgleich Anhand Preisgleitklausel 
Cent auf 10 Jahre 
</t>
        </r>
        <r>
          <rPr>
            <b/>
            <sz val="9"/>
            <color indexed="81"/>
            <rFont val="Tahoma"/>
            <family val="2"/>
          </rPr>
          <t xml:space="preserve">ACHTUNG Preis ist auf max 18 Cent/kwh netto gedeckelt </t>
        </r>
      </text>
    </comment>
    <comment ref="G60" authorId="0">
      <text>
        <r>
          <rPr>
            <b/>
            <sz val="9"/>
            <color indexed="81"/>
            <rFont val="Tahoma"/>
            <family val="2"/>
          </rPr>
          <t xml:space="preserve">Wagner:
</t>
        </r>
        <r>
          <rPr>
            <sz val="9"/>
            <color indexed="81"/>
            <rFont val="Tahoma"/>
            <family val="2"/>
          </rPr>
          <t>Kosten Umbau Sekundärseite 
Ist bei jedem Haus individuell , muss vom Heizungsbauer angeboten werden. Die Kosten für den Umbau sind aufgrund des Ukraine Krieges extrem gestiegen. Im Juli 2022 belaufen sich die Durchschnittlichen Anschlussgebühren auf ca. 9.000 - 14.000 €. (Schätzung Wagner)
Kosten beeinhalten:
-Pufferspeicher
-Boiler (falls verlatet)
-Pumpen (falls veraltet)
-Vorrohrung
-Elektrischer Anschluss
-sonstiges, Wasseraufbereitung, Umbauten im Heizungskeller, Umbauten im Wohnraum (neue Heizkörper, fussbodenheizung) wenn erwünscht</t>
        </r>
      </text>
    </comment>
    <comment ref="C61" authorId="0">
      <text>
        <r>
          <rPr>
            <sz val="9"/>
            <color indexed="81"/>
            <rFont val="Tahoma"/>
            <family val="2"/>
          </rPr>
          <t>Wagner:
Festen Kosten pro Jahr Grundgebühr auf ganze Vertragslaufzeit gleich hoch
400 € brutto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Windows-Benutzer:</t>
        </r>
        <r>
          <rPr>
            <sz val="9"/>
            <color indexed="81"/>
            <rFont val="Tahoma"/>
            <family val="2"/>
          </rPr>
          <t xml:space="preserve">
bei Austausch einer Ölheizung 45 % bei Austausch einer Gas oder Holzheizung 35 %
siehe Video Homepage- Bafa Förderung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 xml:space="preserve">Wagner:
</t>
        </r>
        <r>
          <rPr>
            <sz val="9"/>
            <color indexed="81"/>
            <rFont val="Tahoma"/>
            <family val="2"/>
          </rPr>
          <t xml:space="preserve">Es können nur Wartungen an Pumpen, Verteiler anfallen- nicht an der Übergabestation - Eigentum Wagner
</t>
        </r>
      </text>
    </comment>
    <comment ref="G64" authorId="0">
      <text>
        <r>
          <rPr>
            <b/>
            <sz val="9"/>
            <color indexed="81"/>
            <rFont val="Tahoma"/>
            <family val="2"/>
          </rPr>
          <t xml:space="preserve">Wagner
</t>
        </r>
        <r>
          <rPr>
            <sz val="9"/>
            <color indexed="81"/>
            <rFont val="Tahoma"/>
            <family val="2"/>
          </rPr>
          <t>Nutzungsdauer Ferwärmeanlage - Wartung und Reperatur liegt bei 100 % bei Wagner
kein Kosten für Instandhaltung bei Kunde
Kunde trägt nur Instandhaltung und Wartung seiner Heizverteilung</t>
        </r>
      </text>
    </comment>
    <comment ref="C83" authorId="0">
      <text>
        <r>
          <rPr>
            <b/>
            <sz val="9"/>
            <color indexed="81"/>
            <rFont val="Tahoma"/>
            <family val="2"/>
          </rPr>
          <t>Windows-Benutzer: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<sst xmlns="http://schemas.openxmlformats.org/spreadsheetml/2006/main" count="205" uniqueCount="108">
  <si>
    <t>m² /Haus</t>
  </si>
  <si>
    <t>Öl</t>
  </si>
  <si>
    <t>Gas</t>
  </si>
  <si>
    <t>Bitte ausfüllen</t>
  </si>
  <si>
    <t>Bitte nicht ausfüllen</t>
  </si>
  <si>
    <t>ja</t>
  </si>
  <si>
    <t>nein</t>
  </si>
  <si>
    <t>Aussagen Heizungsbauer Kosten neue Heizung</t>
  </si>
  <si>
    <t xml:space="preserve">Gas </t>
  </si>
  <si>
    <t>Entsorgung Brenner Alt</t>
  </si>
  <si>
    <t>Ölheizung</t>
  </si>
  <si>
    <t>Tanks raus</t>
  </si>
  <si>
    <t>Kamin Isolieren</t>
  </si>
  <si>
    <t xml:space="preserve">Ölverbrauch </t>
  </si>
  <si>
    <t>Therme installieren</t>
  </si>
  <si>
    <t>€/l</t>
  </si>
  <si>
    <t>Pumpen neu</t>
  </si>
  <si>
    <t>€</t>
  </si>
  <si>
    <t>Verohrung teilw. Neu</t>
  </si>
  <si>
    <t>Wartung und Reperatur</t>
  </si>
  <si>
    <t>wie gas - eher teuerer</t>
  </si>
  <si>
    <t>Kaminkerher</t>
  </si>
  <si>
    <t>Wärmenge</t>
  </si>
  <si>
    <t>%</t>
  </si>
  <si>
    <t>tatsächliche Wärmemenge</t>
  </si>
  <si>
    <t>Variable Kosten Jahr Öl</t>
  </si>
  <si>
    <t>Wärmepreis pro Kilowattstunde</t>
  </si>
  <si>
    <t>Zins</t>
  </si>
  <si>
    <t>Nutzungsdauer</t>
  </si>
  <si>
    <t>Jahre</t>
  </si>
  <si>
    <t>€/Jahr</t>
  </si>
  <si>
    <t>Insgesamte Kosten pro Jahr</t>
  </si>
  <si>
    <t>insg Kosten pro KWh</t>
  </si>
  <si>
    <t>Gas Heizung (Gasanschluss)</t>
  </si>
  <si>
    <t>Cent/kwh</t>
  </si>
  <si>
    <t>Jahreskosten Heizmaterial</t>
  </si>
  <si>
    <t>plus Heizkosten Gas pro kw/h</t>
  </si>
  <si>
    <t>Fernwärme Anschluss Neufahrn</t>
  </si>
  <si>
    <t>Heizkosten Fernwärme pro Jahr</t>
  </si>
  <si>
    <t>Kosten Umbau Heizungsbauer</t>
  </si>
  <si>
    <t>plus Heizkosten pro kw/h</t>
  </si>
  <si>
    <t>Gasheizung</t>
  </si>
  <si>
    <t>Fernwärme</t>
  </si>
  <si>
    <t>Gesamtkosten pro jahr</t>
  </si>
  <si>
    <t>mit Abschreibung €/Jahr</t>
  </si>
  <si>
    <t>Einsparung gegenüber Öl</t>
  </si>
  <si>
    <t>Einsparung gegenüber Gas</t>
  </si>
  <si>
    <t>aussage Kirner</t>
  </si>
  <si>
    <t>Grundgebühr pro Jahr</t>
  </si>
  <si>
    <t>€ /pro Jahr</t>
  </si>
  <si>
    <t>Ersparnis auf 10 Jahre</t>
  </si>
  <si>
    <t>Ersparnis pro Jahr</t>
  </si>
  <si>
    <t>Heizölpreis Durchschnitt nächsten 10 Jahre</t>
  </si>
  <si>
    <t>Größe Haus  m²</t>
  </si>
  <si>
    <t>Festkosten pro Kwh</t>
  </si>
  <si>
    <t>Kosten für eine neue Gasheizung</t>
  </si>
  <si>
    <t>Kosten Anschluss Fernwärmenetz</t>
  </si>
  <si>
    <t>Ergebnisse</t>
  </si>
  <si>
    <t>Welche Heizung ist bisher vorhanden?</t>
  </si>
  <si>
    <t xml:space="preserve"> </t>
  </si>
  <si>
    <t>entweder m² eingeben</t>
  </si>
  <si>
    <t>oder kwh gas eingeben</t>
  </si>
  <si>
    <t>oder liter Öl eigeben</t>
  </si>
  <si>
    <t>Brennwertanlage bei Gas oder Öl ja/nein?</t>
  </si>
  <si>
    <t>Gaspreis Durchschnitt der nächsten 10 Jahre</t>
  </si>
  <si>
    <t>Gaskosten insg. pro Jahr</t>
  </si>
  <si>
    <t>tatsächliche genutzte Wärmemenge</t>
  </si>
  <si>
    <t>Nutzungsdauer der Anlage</t>
  </si>
  <si>
    <t>Feste Kosten pro Jahr (Zins+ Abschreibung)</t>
  </si>
  <si>
    <t>Zins angenommen</t>
  </si>
  <si>
    <t>Festkosten pro kw/h</t>
  </si>
  <si>
    <t>Heizölkosten insg. pro Jahr</t>
  </si>
  <si>
    <t>l/Jahr</t>
  </si>
  <si>
    <t>kw/h /Jahr</t>
  </si>
  <si>
    <t>kWh</t>
  </si>
  <si>
    <t>Jahresnutzungsgrad</t>
  </si>
  <si>
    <t>Kaminkehrer</t>
  </si>
  <si>
    <t>Brennstoffenergie</t>
  </si>
  <si>
    <t>Kosten für eine neue Ölheizung</t>
  </si>
  <si>
    <t>Festkosten pro kWh</t>
  </si>
  <si>
    <t>plus Heizölkosten pro kWh</t>
  </si>
  <si>
    <t>Variable Kosten Jahr Gas</t>
  </si>
  <si>
    <t>Brennwert</t>
  </si>
  <si>
    <t>kein brennwert</t>
  </si>
  <si>
    <t>Brennstoffenergie (in Heizwert)</t>
  </si>
  <si>
    <t>Gasverbrauch (Brennwert)</t>
  </si>
  <si>
    <t>Cent/kWh</t>
  </si>
  <si>
    <t>Förderung BAFA</t>
  </si>
  <si>
    <t>Kosten abz. BAFA Förderung</t>
  </si>
  <si>
    <t xml:space="preserve">Einsparpotenzial pro Jahr gegenüber fossile Heizungen </t>
  </si>
  <si>
    <t>mit Abschreibung Cent pro KWh</t>
  </si>
  <si>
    <t>Kosten pro kWh</t>
  </si>
  <si>
    <t>Vertragslaufzeit 10 Jahre  - Alle Preise Inklusive MWst.</t>
  </si>
  <si>
    <t>Übersicht Preisentwicklung bei verschiedenen Brennstoffpreisen</t>
  </si>
  <si>
    <t>Wärmemenge tatsächlich bezogen</t>
  </si>
  <si>
    <t>Durchschnittpreis der nächsten 10 Jahre</t>
  </si>
  <si>
    <t xml:space="preserve">Aktualisiert am </t>
  </si>
  <si>
    <t>Vergleich Fossile Brennstoffe - Fernwärme Neufahrn West</t>
  </si>
  <si>
    <t>Wärmepumpe (Luft/Wasser)</t>
  </si>
  <si>
    <t>Kosten für eine neue Wärmepumpe</t>
  </si>
  <si>
    <t>Jahresarbeitszahl (COP Wert)</t>
  </si>
  <si>
    <t xml:space="preserve">Variable Kosten Jahr </t>
  </si>
  <si>
    <t>Strompreis geschätzt die nächsten 10 Jahre</t>
  </si>
  <si>
    <t>Wärmepumpe</t>
  </si>
  <si>
    <r>
      <t xml:space="preserve">Übersicht Öl = Was passiert mit den </t>
    </r>
    <r>
      <rPr>
        <u/>
        <sz val="10"/>
        <rFont val="Arial"/>
        <family val="2"/>
      </rPr>
      <t>Einsparungen pro Jahr</t>
    </r>
    <r>
      <rPr>
        <sz val="10"/>
        <rFont val="Arial"/>
        <family val="2"/>
      </rPr>
      <t xml:space="preserve"> in Abhängigkeit vom Ölpreis</t>
    </r>
  </si>
  <si>
    <r>
      <t xml:space="preserve">Übersicht Gas = Was passiert mit den </t>
    </r>
    <r>
      <rPr>
        <u/>
        <sz val="10"/>
        <rFont val="Arial"/>
        <family val="2"/>
      </rPr>
      <t>Einsparungen pro Jahr</t>
    </r>
    <r>
      <rPr>
        <sz val="10"/>
        <rFont val="Arial"/>
        <family val="2"/>
      </rPr>
      <t xml:space="preserve"> in Abhängigkeit vom Gaspreis</t>
    </r>
  </si>
  <si>
    <r>
      <t xml:space="preserve">Übersicht Strom Wärmepumpe = Was passiert mit den </t>
    </r>
    <r>
      <rPr>
        <u/>
        <sz val="10"/>
        <rFont val="Arial"/>
        <family val="2"/>
      </rPr>
      <t>Einsparungen pro Jahr</t>
    </r>
    <r>
      <rPr>
        <sz val="10"/>
        <rFont val="Arial"/>
        <family val="2"/>
      </rPr>
      <t xml:space="preserve"> in Abhängigkeit vom Strompreis</t>
    </r>
  </si>
  <si>
    <t>Einsparung gegenüber Wärmepumpe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</si>
</sst>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0.0\ &quot;Cent/kwh&quot;"/>
    <numFmt numFmtId="166" formatCode="_-* #,##0\ &quot;€&quot;_-;\-* #,##0\ &quot;€&quot;_-;_-* &quot;-&quot;??\ &quot;€&quot;_-;_-@_-"/>
    <numFmt numFmtId="167" formatCode="#,##0\ &quot;Liter/Jahr&quot;"/>
    <numFmt numFmtId="168" formatCode="0.00\ &quot;€/liter Öl&quot;"/>
    <numFmt numFmtId="169" formatCode="#,##0\ &quot;kwh/Jahr&quot;"/>
    <numFmt numFmtId="170" formatCode="0\ &quot;Cent/kWh Gas&quot;"/>
    <numFmt numFmtId="171" formatCode="#,##0.0"/>
    <numFmt numFmtId="173" formatCode="0\ &quot;Cent/kWh Strom&quot;"/>
  </numFmts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theme="0" tint="-0.14999847407452621"/>
      <name val="Arial"/>
      <family val="2"/>
    </font>
    <font>
      <b/>
      <u/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6"/>
      <name val="Arial"/>
      <family val="2"/>
    </font>
    <font>
      <u/>
      <sz val="16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Alignment="1">
      <alignment horizontal="center" wrapText="1"/>
    </xf>
    <xf numFmtId="0" fontId="0" fillId="2" borderId="1" xfId="0" applyFill="1" applyBorder="1"/>
    <xf numFmtId="0" fontId="3" fillId="3" borderId="1" xfId="0" applyFont="1" applyFill="1" applyBorder="1" applyAlignment="1">
      <alignment horizontal="center" wrapText="1"/>
    </xf>
    <xf numFmtId="0" fontId="0" fillId="0" borderId="4" xfId="0" applyBorder="1"/>
    <xf numFmtId="0" fontId="0" fillId="2" borderId="4" xfId="0" applyFill="1" applyBorder="1" applyAlignment="1">
      <alignment horizontal="center"/>
    </xf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6" xfId="0" applyFont="1" applyBorder="1"/>
    <xf numFmtId="3" fontId="0" fillId="3" borderId="7" xfId="0" applyNumberFormat="1" applyFill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2" borderId="0" xfId="0" applyNumberFormat="1" applyFill="1" applyBorder="1"/>
    <xf numFmtId="3" fontId="0" fillId="3" borderId="0" xfId="0" applyNumberFormat="1" applyFill="1" applyBorder="1"/>
    <xf numFmtId="0" fontId="5" fillId="0" borderId="10" xfId="0" applyFont="1" applyBorder="1"/>
    <xf numFmtId="3" fontId="5" fillId="3" borderId="0" xfId="0" applyNumberFormat="1" applyFont="1" applyFill="1" applyBorder="1"/>
    <xf numFmtId="0" fontId="5" fillId="0" borderId="9" xfId="0" applyFont="1" applyBorder="1"/>
    <xf numFmtId="1" fontId="0" fillId="3" borderId="0" xfId="0" applyNumberFormat="1" applyFill="1" applyBorder="1"/>
    <xf numFmtId="0" fontId="1" fillId="0" borderId="10" xfId="0" applyFont="1" applyBorder="1"/>
    <xf numFmtId="0" fontId="5" fillId="0" borderId="11" xfId="0" applyFont="1" applyBorder="1"/>
    <xf numFmtId="0" fontId="0" fillId="0" borderId="6" xfId="0" applyBorder="1"/>
    <xf numFmtId="0" fontId="0" fillId="3" borderId="0" xfId="0" applyFill="1" applyBorder="1"/>
    <xf numFmtId="0" fontId="6" fillId="0" borderId="9" xfId="0" applyFont="1" applyBorder="1"/>
    <xf numFmtId="2" fontId="0" fillId="3" borderId="0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6" xfId="0" applyBorder="1"/>
    <xf numFmtId="165" fontId="0" fillId="0" borderId="17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6" xfId="0" applyFont="1" applyBorder="1"/>
    <xf numFmtId="0" fontId="0" fillId="0" borderId="0" xfId="0" applyBorder="1" applyAlignment="1">
      <alignment horizontal="center" wrapText="1"/>
    </xf>
    <xf numFmtId="0" fontId="4" fillId="0" borderId="0" xfId="0" applyFont="1" applyBorder="1"/>
    <xf numFmtId="166" fontId="0" fillId="0" borderId="17" xfId="2" applyNumberFormat="1" applyFont="1" applyBorder="1"/>
    <xf numFmtId="0" fontId="5" fillId="0" borderId="16" xfId="0" applyFont="1" applyBorder="1"/>
    <xf numFmtId="4" fontId="5" fillId="0" borderId="17" xfId="0" applyNumberFormat="1" applyFont="1" applyBorder="1"/>
    <xf numFmtId="0" fontId="6" fillId="4" borderId="16" xfId="0" applyFont="1" applyFill="1" applyBorder="1"/>
    <xf numFmtId="166" fontId="6" fillId="4" borderId="17" xfId="2" applyNumberFormat="1" applyFont="1" applyFill="1" applyBorder="1"/>
    <xf numFmtId="166" fontId="6" fillId="4" borderId="19" xfId="2" applyNumberFormat="1" applyFont="1" applyFill="1" applyBorder="1"/>
    <xf numFmtId="0" fontId="6" fillId="4" borderId="20" xfId="0" applyFont="1" applyFill="1" applyBorder="1"/>
    <xf numFmtId="166" fontId="6" fillId="4" borderId="21" xfId="2" applyNumberFormat="1" applyFont="1" applyFill="1" applyBorder="1"/>
    <xf numFmtId="0" fontId="5" fillId="0" borderId="0" xfId="0" applyFont="1"/>
    <xf numFmtId="0" fontId="0" fillId="0" borderId="10" xfId="0" applyFont="1" applyBorder="1"/>
    <xf numFmtId="0" fontId="3" fillId="0" borderId="0" xfId="0" applyFont="1" applyAlignment="1">
      <alignment horizontal="center" wrapText="1"/>
    </xf>
    <xf numFmtId="0" fontId="7" fillId="0" borderId="0" xfId="0" applyFont="1" applyBorder="1" applyAlignment="1"/>
    <xf numFmtId="0" fontId="0" fillId="0" borderId="13" xfId="0" applyBorder="1"/>
    <xf numFmtId="0" fontId="5" fillId="0" borderId="0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44" fontId="12" fillId="0" borderId="0" xfId="2" applyFont="1"/>
    <xf numFmtId="0" fontId="11" fillId="0" borderId="22" xfId="0" applyFont="1" applyBorder="1" applyAlignment="1">
      <alignment wrapText="1"/>
    </xf>
    <xf numFmtId="0" fontId="10" fillId="0" borderId="0" xfId="0" applyFont="1" applyBorder="1"/>
    <xf numFmtId="0" fontId="11" fillId="0" borderId="0" xfId="0" applyFont="1" applyBorder="1" applyAlignment="1">
      <alignment wrapText="1"/>
    </xf>
    <xf numFmtId="0" fontId="4" fillId="0" borderId="20" xfId="0" applyFont="1" applyBorder="1"/>
    <xf numFmtId="166" fontId="4" fillId="0" borderId="21" xfId="2" applyNumberFormat="1" applyFont="1" applyBorder="1"/>
    <xf numFmtId="164" fontId="1" fillId="2" borderId="4" xfId="1" applyNumberFormat="1" applyFont="1" applyFill="1" applyBorder="1" applyAlignment="1">
      <alignment horizontal="center"/>
    </xf>
    <xf numFmtId="4" fontId="0" fillId="3" borderId="0" xfId="0" applyNumberFormat="1" applyFill="1" applyBorder="1"/>
    <xf numFmtId="3" fontId="13" fillId="3" borderId="0" xfId="0" applyNumberFormat="1" applyFont="1" applyFill="1" applyBorder="1"/>
    <xf numFmtId="43" fontId="1" fillId="2" borderId="4" xfId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Font="1" applyFill="1" applyBorder="1"/>
    <xf numFmtId="0" fontId="0" fillId="0" borderId="6" xfId="0" applyFont="1" applyBorder="1"/>
    <xf numFmtId="166" fontId="5" fillId="0" borderId="4" xfId="2" applyNumberFormat="1" applyFont="1" applyBorder="1"/>
    <xf numFmtId="168" fontId="5" fillId="3" borderId="4" xfId="0" applyNumberFormat="1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 wrapText="1"/>
    </xf>
    <xf numFmtId="2" fontId="5" fillId="5" borderId="12" xfId="0" applyNumberFormat="1" applyFont="1" applyFill="1" applyBorder="1"/>
    <xf numFmtId="2" fontId="6" fillId="5" borderId="0" xfId="0" applyNumberFormat="1" applyFont="1" applyFill="1" applyBorder="1"/>
    <xf numFmtId="3" fontId="1" fillId="2" borderId="4" xfId="0" applyNumberFormat="1" applyFont="1" applyFill="1" applyBorder="1"/>
    <xf numFmtId="9" fontId="1" fillId="2" borderId="4" xfId="3" applyFont="1" applyFill="1" applyBorder="1" applyAlignment="1">
      <alignment horizontal="center"/>
    </xf>
    <xf numFmtId="166" fontId="1" fillId="2" borderId="4" xfId="2" applyNumberFormat="1" applyFont="1" applyFill="1" applyBorder="1"/>
    <xf numFmtId="0" fontId="16" fillId="0" borderId="0" xfId="0" applyFont="1" applyBorder="1" applyAlignment="1">
      <alignment wrapText="1"/>
    </xf>
    <xf numFmtId="0" fontId="12" fillId="0" borderId="0" xfId="0" applyFont="1" applyAlignment="1">
      <alignment horizontal="center"/>
    </xf>
    <xf numFmtId="164" fontId="5" fillId="3" borderId="0" xfId="1" applyNumberFormat="1" applyFont="1" applyFill="1" applyBorder="1"/>
    <xf numFmtId="0" fontId="0" fillId="0" borderId="8" xfId="0" applyFont="1" applyBorder="1"/>
    <xf numFmtId="0" fontId="1" fillId="0" borderId="9" xfId="0" applyFont="1" applyBorder="1"/>
    <xf numFmtId="44" fontId="0" fillId="0" borderId="9" xfId="2" applyFont="1" applyBorder="1"/>
    <xf numFmtId="0" fontId="5" fillId="0" borderId="13" xfId="0" applyFont="1" applyBorder="1"/>
    <xf numFmtId="3" fontId="1" fillId="2" borderId="7" xfId="0" applyNumberFormat="1" applyFont="1" applyFill="1" applyBorder="1"/>
    <xf numFmtId="0" fontId="17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3" fontId="0" fillId="3" borderId="0" xfId="0" applyNumberFormat="1" applyFont="1" applyFill="1" applyBorder="1"/>
    <xf numFmtId="0" fontId="0" fillId="3" borderId="0" xfId="0" applyFill="1" applyBorder="1" applyAlignment="1">
      <alignment horizontal="right"/>
    </xf>
    <xf numFmtId="170" fontId="5" fillId="3" borderId="4" xfId="0" applyNumberFormat="1" applyFont="1" applyFill="1" applyBorder="1" applyAlignment="1">
      <alignment horizontal="center"/>
    </xf>
    <xf numFmtId="169" fontId="5" fillId="3" borderId="4" xfId="0" applyNumberFormat="1" applyFont="1" applyFill="1" applyBorder="1"/>
    <xf numFmtId="167" fontId="5" fillId="3" borderId="4" xfId="0" applyNumberFormat="1" applyFont="1" applyFill="1" applyBorder="1"/>
    <xf numFmtId="0" fontId="6" fillId="0" borderId="0" xfId="0" applyFont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/>
    <xf numFmtId="167" fontId="5" fillId="0" borderId="0" xfId="0" applyNumberFormat="1" applyFont="1" applyFill="1" applyBorder="1"/>
    <xf numFmtId="166" fontId="5" fillId="0" borderId="0" xfId="2" applyNumberFormat="1" applyFont="1" applyFill="1" applyBorder="1"/>
    <xf numFmtId="169" fontId="5" fillId="0" borderId="0" xfId="0" applyNumberFormat="1" applyFont="1" applyFill="1" applyBorder="1"/>
    <xf numFmtId="166" fontId="18" fillId="0" borderId="4" xfId="0" applyNumberFormat="1" applyFont="1" applyBorder="1"/>
    <xf numFmtId="166" fontId="18" fillId="0" borderId="4" xfId="0" applyNumberFormat="1" applyFont="1" applyBorder="1" applyAlignment="1">
      <alignment horizontal="center"/>
    </xf>
    <xf numFmtId="0" fontId="19" fillId="0" borderId="0" xfId="0" applyFont="1"/>
    <xf numFmtId="4" fontId="0" fillId="0" borderId="0" xfId="0" applyNumberForma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14" fontId="0" fillId="0" borderId="0" xfId="0" applyNumberFormat="1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2" fontId="5" fillId="6" borderId="0" xfId="0" applyNumberFormat="1" applyFont="1" applyFill="1" applyBorder="1"/>
    <xf numFmtId="3" fontId="0" fillId="0" borderId="0" xfId="0" applyNumberFormat="1" applyFill="1" applyBorder="1"/>
    <xf numFmtId="171" fontId="0" fillId="2" borderId="0" xfId="0" applyNumberFormat="1" applyFill="1" applyBorder="1"/>
    <xf numFmtId="0" fontId="0" fillId="0" borderId="10" xfId="0" applyFill="1" applyBorder="1"/>
    <xf numFmtId="0" fontId="0" fillId="0" borderId="9" xfId="0" applyFill="1" applyBorder="1"/>
    <xf numFmtId="1" fontId="0" fillId="0" borderId="0" xfId="0" applyNumberFormat="1" applyFill="1" applyBorder="1"/>
    <xf numFmtId="164" fontId="0" fillId="0" borderId="0" xfId="1" applyNumberFormat="1" applyFont="1"/>
    <xf numFmtId="0" fontId="5" fillId="0" borderId="12" xfId="0" applyFont="1" applyBorder="1"/>
    <xf numFmtId="2" fontId="6" fillId="5" borderId="12" xfId="0" applyNumberFormat="1" applyFont="1" applyFill="1" applyBorder="1"/>
    <xf numFmtId="166" fontId="4" fillId="0" borderId="0" xfId="2" applyNumberFormat="1" applyFont="1" applyBorder="1"/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4" xfId="0" applyFont="1" applyBorder="1"/>
    <xf numFmtId="173" fontId="5" fillId="3" borderId="4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/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X118"/>
  <sheetViews>
    <sheetView tabSelected="1" zoomScale="110" zoomScaleNormal="110" zoomScaleSheetLayoutView="130" workbookViewId="0">
      <selection activeCell="D62" sqref="D62"/>
    </sheetView>
  </sheetViews>
  <sheetFormatPr baseColWidth="10" defaultRowHeight="12.75" x14ac:dyDescent="0.2"/>
  <cols>
    <col min="1" max="1" width="3.28515625" customWidth="1"/>
    <col min="2" max="2" width="43.42578125" bestFit="1" customWidth="1"/>
    <col min="3" max="3" width="21.140625" customWidth="1"/>
    <col min="4" max="4" width="16" customWidth="1"/>
    <col min="5" max="5" width="16.28515625" customWidth="1"/>
    <col min="6" max="6" width="22.7109375" customWidth="1"/>
    <col min="7" max="7" width="10.7109375" customWidth="1"/>
    <col min="12" max="12" width="18.28515625" bestFit="1" customWidth="1"/>
    <col min="13" max="13" width="15.7109375" bestFit="1" customWidth="1"/>
    <col min="17" max="17" width="10.85546875" customWidth="1"/>
    <col min="18" max="18" width="20.42578125" bestFit="1" customWidth="1"/>
    <col min="19" max="19" width="13.85546875" customWidth="1"/>
  </cols>
  <sheetData>
    <row r="1" spans="1:24" ht="13.5" thickBot="1" x14ac:dyDescent="0.25"/>
    <row r="2" spans="1:24" ht="21" customHeight="1" thickBot="1" x14ac:dyDescent="0.35">
      <c r="A2" s="73"/>
      <c r="B2" s="100" t="s">
        <v>97</v>
      </c>
      <c r="C2" s="101"/>
      <c r="D2" s="101"/>
      <c r="E2" s="101"/>
      <c r="F2" s="101"/>
      <c r="G2" s="101"/>
      <c r="H2" s="102"/>
      <c r="I2" s="81"/>
      <c r="J2" s="82"/>
      <c r="K2" s="44"/>
      <c r="L2" s="44"/>
      <c r="M2" s="44"/>
      <c r="N2" s="44"/>
      <c r="O2" s="44"/>
      <c r="Q2" s="48" t="s">
        <v>0</v>
      </c>
      <c r="R2" s="48"/>
      <c r="S2" s="48"/>
      <c r="T2" s="48"/>
      <c r="U2" s="48"/>
      <c r="V2" s="48"/>
      <c r="W2" s="48"/>
      <c r="X2" s="48"/>
    </row>
    <row r="3" spans="1:24" ht="18" x14ac:dyDescent="0.25">
      <c r="B3" s="103" t="s">
        <v>92</v>
      </c>
      <c r="C3" s="103"/>
      <c r="D3" s="103"/>
      <c r="E3" s="103"/>
      <c r="F3" s="103"/>
      <c r="G3" s="103"/>
      <c r="H3" s="103"/>
      <c r="I3" s="1"/>
      <c r="J3" s="44"/>
      <c r="K3" s="44"/>
      <c r="L3" s="44"/>
      <c r="M3" s="44"/>
      <c r="N3" s="44"/>
      <c r="O3" s="44"/>
      <c r="Q3" s="48">
        <v>0</v>
      </c>
      <c r="R3" s="49" t="s">
        <v>1</v>
      </c>
      <c r="S3" s="49" t="s">
        <v>2</v>
      </c>
      <c r="T3" s="48"/>
      <c r="U3" s="48"/>
      <c r="V3" s="48"/>
      <c r="W3" s="48"/>
      <c r="X3" s="48"/>
    </row>
    <row r="4" spans="1:24" ht="18.75" thickBot="1" x14ac:dyDescent="0.3">
      <c r="B4" s="82"/>
      <c r="C4" s="82"/>
      <c r="D4" s="82"/>
      <c r="E4" s="82"/>
      <c r="F4" s="98" t="s">
        <v>96</v>
      </c>
      <c r="G4" s="99">
        <v>44979</v>
      </c>
      <c r="H4" s="82"/>
      <c r="I4" s="62"/>
      <c r="J4" s="62"/>
      <c r="K4" s="62"/>
      <c r="L4" s="62"/>
      <c r="M4" s="62"/>
      <c r="N4" s="62"/>
      <c r="O4" s="62"/>
      <c r="Q4" s="48"/>
      <c r="R4" s="74"/>
      <c r="S4" s="74"/>
      <c r="T4" s="48"/>
      <c r="U4" s="48"/>
      <c r="V4" s="48"/>
      <c r="W4" s="48"/>
      <c r="X4" s="48"/>
    </row>
    <row r="5" spans="1:24" ht="18.75" thickBot="1" x14ac:dyDescent="0.3">
      <c r="B5" s="2"/>
      <c r="C5" s="104" t="s">
        <v>3</v>
      </c>
      <c r="D5" s="105"/>
      <c r="E5" s="1"/>
      <c r="F5" s="1"/>
      <c r="H5" s="1"/>
      <c r="I5" s="1"/>
      <c r="J5" s="44"/>
      <c r="K5" s="44"/>
      <c r="L5" s="44"/>
      <c r="M5" s="44"/>
      <c r="N5" s="44"/>
      <c r="O5" s="44"/>
      <c r="Q5" s="49">
        <v>100</v>
      </c>
      <c r="R5" s="48">
        <v>1500</v>
      </c>
      <c r="S5" s="48">
        <v>15000</v>
      </c>
      <c r="T5" s="48"/>
      <c r="U5" s="48"/>
      <c r="V5" s="48"/>
      <c r="W5" s="48"/>
      <c r="X5" s="48"/>
    </row>
    <row r="6" spans="1:24" ht="18.75" thickBot="1" x14ac:dyDescent="0.3">
      <c r="B6" s="3"/>
      <c r="C6" s="106" t="s">
        <v>4</v>
      </c>
      <c r="D6" s="107"/>
      <c r="E6" s="1"/>
      <c r="F6" s="1"/>
      <c r="G6" s="1"/>
      <c r="H6" s="1"/>
      <c r="I6" s="1"/>
      <c r="J6" s="44"/>
      <c r="K6" s="44"/>
      <c r="L6" s="44"/>
      <c r="M6" s="44"/>
      <c r="N6" s="44"/>
      <c r="O6" s="44"/>
      <c r="Q6" s="49">
        <v>150</v>
      </c>
      <c r="R6" s="48">
        <v>2500</v>
      </c>
      <c r="S6" s="48">
        <v>25000</v>
      </c>
      <c r="T6" s="48"/>
      <c r="U6" s="48"/>
      <c r="V6" s="48"/>
      <c r="W6" s="48"/>
      <c r="X6" s="48"/>
    </row>
    <row r="7" spans="1:24" ht="18.75" thickBot="1" x14ac:dyDescent="0.3">
      <c r="B7" s="67"/>
      <c r="C7" s="106" t="s">
        <v>57</v>
      </c>
      <c r="D7" s="107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Q7" s="49">
        <v>250</v>
      </c>
      <c r="R7" s="48">
        <v>3500</v>
      </c>
      <c r="S7" s="48">
        <v>35000</v>
      </c>
      <c r="T7" s="48"/>
      <c r="U7" s="48"/>
      <c r="V7" s="48"/>
      <c r="W7" s="48"/>
      <c r="X7" s="48"/>
    </row>
    <row r="8" spans="1:24" x14ac:dyDescent="0.2">
      <c r="T8" s="48"/>
      <c r="U8" s="48"/>
      <c r="V8" s="48"/>
      <c r="W8" s="48"/>
      <c r="X8" s="48" t="s">
        <v>5</v>
      </c>
    </row>
    <row r="9" spans="1:24" x14ac:dyDescent="0.2">
      <c r="B9" s="4" t="s">
        <v>53</v>
      </c>
      <c r="C9" s="59">
        <v>0</v>
      </c>
      <c r="D9" s="60" t="s">
        <v>60</v>
      </c>
      <c r="E9" s="60"/>
      <c r="F9" s="61"/>
      <c r="Q9" s="48"/>
      <c r="R9" s="48"/>
      <c r="S9" s="48"/>
      <c r="T9" s="48"/>
      <c r="U9" s="48"/>
      <c r="V9" s="48"/>
      <c r="W9" s="48"/>
      <c r="X9" s="48" t="s">
        <v>6</v>
      </c>
    </row>
    <row r="10" spans="1:24" x14ac:dyDescent="0.2">
      <c r="B10" s="4" t="s">
        <v>58</v>
      </c>
      <c r="C10" s="59" t="s">
        <v>41</v>
      </c>
      <c r="D10" s="60"/>
      <c r="E10" s="60"/>
      <c r="F10" s="61"/>
      <c r="Q10" s="48"/>
      <c r="R10" s="48"/>
      <c r="S10" s="48"/>
      <c r="T10" s="48"/>
      <c r="U10" s="48"/>
      <c r="V10" s="48"/>
      <c r="W10" s="48"/>
      <c r="X10" s="48"/>
    </row>
    <row r="11" spans="1:24" x14ac:dyDescent="0.2">
      <c r="B11" s="4" t="str">
        <f>IF($C$10="Gasheizung","verbrauchte kw/h Gasheizung","")</f>
        <v>verbrauchte kw/h Gasheizung</v>
      </c>
      <c r="C11" s="56">
        <v>25000</v>
      </c>
      <c r="D11" s="60" t="s">
        <v>61</v>
      </c>
      <c r="E11" s="60"/>
      <c r="F11" s="60"/>
      <c r="Q11" s="48" t="s">
        <v>5</v>
      </c>
      <c r="R11" s="48"/>
      <c r="S11" s="48"/>
      <c r="T11" s="48"/>
      <c r="U11" s="48"/>
      <c r="V11" s="48"/>
      <c r="W11" s="48"/>
      <c r="X11" s="48"/>
    </row>
    <row r="12" spans="1:24" x14ac:dyDescent="0.2">
      <c r="B12" s="4" t="str">
        <f>IF(C10="Gasheizung","","verbrauchte Liter Öl/Jahr")</f>
        <v/>
      </c>
      <c r="C12" s="56">
        <v>2500</v>
      </c>
      <c r="D12" s="60" t="s">
        <v>62</v>
      </c>
      <c r="E12" s="60"/>
      <c r="F12" s="60"/>
      <c r="Q12" s="48" t="s">
        <v>6</v>
      </c>
      <c r="R12" s="48"/>
      <c r="S12" s="48"/>
      <c r="T12" s="48"/>
      <c r="U12" s="48"/>
      <c r="V12" s="48"/>
      <c r="W12" s="48"/>
      <c r="X12" s="48"/>
    </row>
    <row r="13" spans="1:24" x14ac:dyDescent="0.2">
      <c r="B13" s="4" t="s">
        <v>63</v>
      </c>
      <c r="C13" s="5" t="s">
        <v>6</v>
      </c>
      <c r="R13" s="48"/>
      <c r="S13" s="48"/>
      <c r="T13" s="48"/>
      <c r="U13" s="48"/>
      <c r="V13" s="48"/>
      <c r="W13" s="48"/>
      <c r="X13" s="48"/>
    </row>
    <row r="14" spans="1:24" x14ac:dyDescent="0.2">
      <c r="B14" s="63"/>
      <c r="Q14" s="111" t="s">
        <v>7</v>
      </c>
      <c r="R14" s="111"/>
      <c r="S14" s="111"/>
      <c r="T14" s="48" t="s">
        <v>47</v>
      </c>
      <c r="U14" s="48"/>
      <c r="V14" s="48"/>
      <c r="W14" s="48"/>
      <c r="X14" s="48"/>
    </row>
    <row r="15" spans="1:24" ht="13.5" thickBot="1" x14ac:dyDescent="0.25">
      <c r="Q15" s="48" t="s">
        <v>8</v>
      </c>
      <c r="R15" s="48" t="s">
        <v>9</v>
      </c>
      <c r="S15" s="50">
        <v>19000</v>
      </c>
      <c r="T15" s="48">
        <v>16000</v>
      </c>
      <c r="U15" s="48"/>
      <c r="V15" s="48"/>
      <c r="W15" s="48"/>
      <c r="X15" s="48"/>
    </row>
    <row r="16" spans="1:24" ht="18.75" thickBot="1" x14ac:dyDescent="0.3">
      <c r="B16" s="108" t="s">
        <v>10</v>
      </c>
      <c r="C16" s="109"/>
      <c r="D16" s="109"/>
      <c r="E16" s="109"/>
      <c r="F16" s="109"/>
      <c r="G16" s="109"/>
      <c r="H16" s="110"/>
      <c r="Q16" s="48"/>
      <c r="R16" s="48" t="s">
        <v>11</v>
      </c>
      <c r="S16" s="48"/>
      <c r="T16" s="48"/>
      <c r="U16" s="48"/>
      <c r="V16" s="48"/>
      <c r="W16" s="48"/>
      <c r="X16" s="48"/>
    </row>
    <row r="17" spans="1:24" ht="13.5" thickBot="1" x14ac:dyDescent="0.25">
      <c r="B17" s="6"/>
      <c r="C17" s="7"/>
      <c r="D17" s="7"/>
      <c r="Q17" s="48"/>
      <c r="R17" s="48" t="s">
        <v>12</v>
      </c>
      <c r="S17" s="48"/>
      <c r="T17" s="48"/>
      <c r="U17" s="48"/>
      <c r="V17" s="48"/>
      <c r="W17" s="48"/>
      <c r="X17" s="48"/>
    </row>
    <row r="18" spans="1:24" x14ac:dyDescent="0.2">
      <c r="B18" s="9" t="s">
        <v>13</v>
      </c>
      <c r="C18" s="10">
        <f>IF(C12="0",VLOOKUP(C9,$Q$5:$S$7,2,TRUE),C12)</f>
        <v>2500</v>
      </c>
      <c r="D18" s="8" t="s">
        <v>72</v>
      </c>
      <c r="E18" s="22" t="s">
        <v>78</v>
      </c>
      <c r="F18" s="7"/>
      <c r="G18" s="80">
        <v>20000</v>
      </c>
      <c r="H18" s="8" t="s">
        <v>17</v>
      </c>
      <c r="Q18" s="48"/>
      <c r="R18" s="48" t="s">
        <v>14</v>
      </c>
      <c r="S18" s="48"/>
      <c r="T18" s="48"/>
      <c r="U18" s="48"/>
      <c r="V18" s="48"/>
      <c r="W18" s="48"/>
      <c r="X18" s="48"/>
    </row>
    <row r="19" spans="1:24" x14ac:dyDescent="0.2">
      <c r="B19" s="13" t="s">
        <v>52</v>
      </c>
      <c r="C19" s="14">
        <v>1.5</v>
      </c>
      <c r="D19" s="77" t="s">
        <v>15</v>
      </c>
      <c r="E19" s="13" t="s">
        <v>69</v>
      </c>
      <c r="F19" s="11"/>
      <c r="G19" s="23">
        <v>4</v>
      </c>
      <c r="H19" s="12" t="s">
        <v>23</v>
      </c>
      <c r="Q19" s="48"/>
      <c r="R19" s="48" t="s">
        <v>16</v>
      </c>
      <c r="S19" s="48"/>
      <c r="T19" s="48"/>
      <c r="U19" s="48"/>
      <c r="V19" s="48"/>
      <c r="W19" s="48"/>
      <c r="X19" s="48"/>
    </row>
    <row r="20" spans="1:24" x14ac:dyDescent="0.2">
      <c r="B20" s="13" t="s">
        <v>71</v>
      </c>
      <c r="C20" s="15">
        <f>C18*C19</f>
        <v>3750</v>
      </c>
      <c r="D20" s="77" t="s">
        <v>30</v>
      </c>
      <c r="E20" s="13" t="s">
        <v>67</v>
      </c>
      <c r="F20" s="11"/>
      <c r="G20" s="23">
        <v>20</v>
      </c>
      <c r="H20" s="12" t="s">
        <v>29</v>
      </c>
      <c r="Q20" s="48"/>
      <c r="R20" s="48" t="s">
        <v>18</v>
      </c>
      <c r="S20" s="48"/>
      <c r="T20" s="48"/>
      <c r="U20" s="48"/>
      <c r="V20" s="48"/>
      <c r="W20" s="48"/>
      <c r="X20" s="48"/>
    </row>
    <row r="21" spans="1:24" x14ac:dyDescent="0.2">
      <c r="B21" s="13" t="s">
        <v>19</v>
      </c>
      <c r="C21" s="15">
        <v>300</v>
      </c>
      <c r="D21" s="77" t="s">
        <v>30</v>
      </c>
      <c r="E21" s="13" t="s">
        <v>68</v>
      </c>
      <c r="F21" s="11"/>
      <c r="G21" s="75">
        <f>(G18/G20)+(G18*G19/100/2)</f>
        <v>1400</v>
      </c>
      <c r="H21" s="12" t="s">
        <v>30</v>
      </c>
      <c r="Q21" s="48" t="s">
        <v>1</v>
      </c>
      <c r="R21" s="48" t="s">
        <v>20</v>
      </c>
      <c r="S21" s="50">
        <v>21000</v>
      </c>
      <c r="T21" s="48">
        <v>18000</v>
      </c>
      <c r="U21" s="48"/>
      <c r="V21" s="48"/>
      <c r="W21" s="48"/>
      <c r="X21" s="48"/>
    </row>
    <row r="22" spans="1:24" ht="15" x14ac:dyDescent="0.25">
      <c r="B22" s="13" t="s">
        <v>76</v>
      </c>
      <c r="C22" s="15">
        <v>70</v>
      </c>
      <c r="D22" s="77" t="s">
        <v>30</v>
      </c>
      <c r="E22" s="20" t="s">
        <v>31</v>
      </c>
      <c r="F22" s="11"/>
      <c r="G22" s="58">
        <f>G21+C23</f>
        <v>5520</v>
      </c>
      <c r="H22" s="24" t="s">
        <v>30</v>
      </c>
    </row>
    <row r="23" spans="1:24" x14ac:dyDescent="0.2">
      <c r="B23" s="16" t="s">
        <v>25</v>
      </c>
      <c r="C23" s="17">
        <f>SUM(C20:C22)</f>
        <v>4120</v>
      </c>
      <c r="D23" s="77" t="s">
        <v>30</v>
      </c>
      <c r="E23" s="13" t="s">
        <v>79</v>
      </c>
      <c r="F23" s="11"/>
      <c r="G23" s="25">
        <f>G21/C27*100</f>
        <v>7.0000000000000009</v>
      </c>
      <c r="H23" s="12" t="s">
        <v>86</v>
      </c>
    </row>
    <row r="24" spans="1:24" x14ac:dyDescent="0.2">
      <c r="B24" s="13"/>
      <c r="C24" s="11"/>
      <c r="D24" s="12"/>
      <c r="E24" s="13" t="s">
        <v>80</v>
      </c>
      <c r="F24" s="11"/>
      <c r="G24" s="25">
        <f>C28</f>
        <v>20.599999999999998</v>
      </c>
      <c r="H24" s="12" t="s">
        <v>86</v>
      </c>
    </row>
    <row r="25" spans="1:24" ht="15" x14ac:dyDescent="0.25">
      <c r="B25" s="13" t="s">
        <v>77</v>
      </c>
      <c r="C25" s="15">
        <f>IF(C9=0,C12*10,VLOOKUP(C9,Q5:S7,2,FALSE)*10)</f>
        <v>25000</v>
      </c>
      <c r="D25" s="12" t="s">
        <v>74</v>
      </c>
      <c r="E25" s="16" t="s">
        <v>32</v>
      </c>
      <c r="F25" s="47"/>
      <c r="G25" s="69">
        <f>G24+G23</f>
        <v>27.599999999999998</v>
      </c>
      <c r="H25" s="18" t="s">
        <v>86</v>
      </c>
    </row>
    <row r="26" spans="1:24" x14ac:dyDescent="0.2">
      <c r="B26" s="13" t="s">
        <v>75</v>
      </c>
      <c r="C26" s="19">
        <v>80</v>
      </c>
      <c r="D26" s="12" t="s">
        <v>23</v>
      </c>
      <c r="E26" s="13"/>
      <c r="F26" s="11"/>
      <c r="G26" s="11"/>
      <c r="H26" s="12"/>
    </row>
    <row r="27" spans="1:24" x14ac:dyDescent="0.2">
      <c r="B27" s="13" t="s">
        <v>66</v>
      </c>
      <c r="C27" s="15">
        <f>C25*C26/100</f>
        <v>20000</v>
      </c>
      <c r="D27" s="12" t="s">
        <v>74</v>
      </c>
      <c r="E27" s="13"/>
      <c r="F27" s="11"/>
      <c r="G27" s="11"/>
      <c r="H27" s="12"/>
    </row>
    <row r="28" spans="1:24" ht="13.5" thickBot="1" x14ac:dyDescent="0.25">
      <c r="B28" s="21" t="s">
        <v>26</v>
      </c>
      <c r="C28" s="68">
        <f>C23/C27*100</f>
        <v>20.599999999999998</v>
      </c>
      <c r="D28" s="79" t="s">
        <v>34</v>
      </c>
      <c r="E28" s="26"/>
      <c r="F28" s="27"/>
      <c r="G28" s="27"/>
      <c r="H28" s="46"/>
      <c r="L28" s="96">
        <v>80</v>
      </c>
      <c r="M28" s="96" t="s">
        <v>83</v>
      </c>
    </row>
    <row r="29" spans="1:24" ht="13.5" thickBot="1" x14ac:dyDescent="0.25">
      <c r="L29" s="96">
        <v>90</v>
      </c>
      <c r="M29" s="96" t="s">
        <v>82</v>
      </c>
    </row>
    <row r="30" spans="1:24" ht="18.75" thickBot="1" x14ac:dyDescent="0.3">
      <c r="B30" s="108" t="s">
        <v>33</v>
      </c>
      <c r="C30" s="109"/>
      <c r="D30" s="109"/>
      <c r="E30" s="109"/>
      <c r="F30" s="109"/>
      <c r="G30" s="109"/>
      <c r="H30" s="110"/>
      <c r="Q30" s="48"/>
    </row>
    <row r="31" spans="1:24" ht="13.5" thickBot="1" x14ac:dyDescent="0.25">
      <c r="A31" t="s">
        <v>59</v>
      </c>
      <c r="B31" s="6"/>
      <c r="C31" s="7"/>
      <c r="D31" s="7"/>
      <c r="E31" s="7"/>
      <c r="F31" s="7"/>
      <c r="G31" s="7"/>
      <c r="H31" s="8"/>
      <c r="Q31" s="48"/>
    </row>
    <row r="32" spans="1:24" x14ac:dyDescent="0.2">
      <c r="B32" s="22" t="s">
        <v>85</v>
      </c>
      <c r="C32" s="10">
        <f>IF(C9=0,C11,VLOOKUP(C9,$Q$5:$S$7,3,TRUE))</f>
        <v>25000</v>
      </c>
      <c r="D32" s="76" t="s">
        <v>74</v>
      </c>
      <c r="E32" s="22" t="s">
        <v>55</v>
      </c>
      <c r="F32" s="7"/>
      <c r="G32" s="80">
        <v>20000</v>
      </c>
      <c r="H32" s="8" t="s">
        <v>17</v>
      </c>
      <c r="Q32" s="48"/>
    </row>
    <row r="33" spans="2:17" x14ac:dyDescent="0.2">
      <c r="B33" s="43" t="s">
        <v>64</v>
      </c>
      <c r="C33" s="14">
        <v>15</v>
      </c>
      <c r="D33" s="77" t="s">
        <v>34</v>
      </c>
      <c r="E33" s="13" t="s">
        <v>69</v>
      </c>
      <c r="F33" s="11"/>
      <c r="G33" s="23">
        <v>4</v>
      </c>
      <c r="H33" s="12" t="s">
        <v>23</v>
      </c>
      <c r="Q33" s="48"/>
    </row>
    <row r="34" spans="2:17" x14ac:dyDescent="0.2">
      <c r="B34" s="43" t="s">
        <v>65</v>
      </c>
      <c r="C34" s="15">
        <f>C33*C32/100</f>
        <v>3750</v>
      </c>
      <c r="D34" s="77" t="s">
        <v>30</v>
      </c>
      <c r="E34" s="13" t="s">
        <v>67</v>
      </c>
      <c r="F34" s="11"/>
      <c r="G34" s="84">
        <v>20</v>
      </c>
      <c r="H34" s="12" t="s">
        <v>29</v>
      </c>
    </row>
    <row r="35" spans="2:17" x14ac:dyDescent="0.2">
      <c r="B35" s="13" t="s">
        <v>19</v>
      </c>
      <c r="C35" s="15">
        <v>300</v>
      </c>
      <c r="D35" s="77" t="s">
        <v>30</v>
      </c>
      <c r="E35" s="13" t="s">
        <v>68</v>
      </c>
      <c r="F35" s="11"/>
      <c r="G35" s="75">
        <f>(G32/G34)+(G32*G33/100/2)</f>
        <v>1400</v>
      </c>
      <c r="H35" s="12" t="s">
        <v>30</v>
      </c>
    </row>
    <row r="36" spans="2:17" ht="15" x14ac:dyDescent="0.25">
      <c r="B36" s="13" t="s">
        <v>76</v>
      </c>
      <c r="C36" s="15">
        <v>70</v>
      </c>
      <c r="D36" s="77" t="s">
        <v>30</v>
      </c>
      <c r="E36" s="20" t="s">
        <v>31</v>
      </c>
      <c r="F36" s="11"/>
      <c r="G36" s="58">
        <f>G35+C37</f>
        <v>5520</v>
      </c>
      <c r="H36" s="24" t="s">
        <v>30</v>
      </c>
    </row>
    <row r="37" spans="2:17" x14ac:dyDescent="0.2">
      <c r="B37" s="16" t="s">
        <v>81</v>
      </c>
      <c r="C37" s="17">
        <f>SUM(C34:C36)</f>
        <v>4120</v>
      </c>
      <c r="D37" s="77" t="s">
        <v>30</v>
      </c>
      <c r="E37" s="13" t="s">
        <v>70</v>
      </c>
      <c r="F37" s="11"/>
      <c r="G37" s="25">
        <f>G35/C41*100</f>
        <v>7.7700000000000005</v>
      </c>
      <c r="H37" s="12" t="s">
        <v>86</v>
      </c>
    </row>
    <row r="38" spans="2:17" x14ac:dyDescent="0.2">
      <c r="B38" s="13"/>
      <c r="C38" s="11"/>
      <c r="D38" s="12"/>
      <c r="E38" s="20" t="s">
        <v>36</v>
      </c>
      <c r="F38" s="11"/>
      <c r="G38" s="25">
        <f>C42</f>
        <v>22.866</v>
      </c>
      <c r="H38" s="12" t="s">
        <v>86</v>
      </c>
    </row>
    <row r="39" spans="2:17" ht="15" x14ac:dyDescent="0.25">
      <c r="B39" s="13" t="s">
        <v>84</v>
      </c>
      <c r="C39" s="15">
        <f>C32/1.11</f>
        <v>22522.522522522522</v>
      </c>
      <c r="D39" s="12" t="s">
        <v>74</v>
      </c>
      <c r="E39" s="16" t="s">
        <v>32</v>
      </c>
      <c r="F39" s="47"/>
      <c r="G39" s="69">
        <f>G38+G37</f>
        <v>30.635999999999999</v>
      </c>
      <c r="H39" s="18" t="s">
        <v>86</v>
      </c>
    </row>
    <row r="40" spans="2:17" x14ac:dyDescent="0.2">
      <c r="B40" s="13" t="s">
        <v>75</v>
      </c>
      <c r="C40" s="19">
        <f>IF(C13="ja",L29,L28)</f>
        <v>80</v>
      </c>
      <c r="D40" s="12" t="s">
        <v>23</v>
      </c>
      <c r="E40" s="13"/>
      <c r="F40" s="11"/>
      <c r="G40" s="11"/>
      <c r="H40" s="12"/>
    </row>
    <row r="41" spans="2:17" x14ac:dyDescent="0.2">
      <c r="B41" s="13" t="s">
        <v>66</v>
      </c>
      <c r="C41" s="15">
        <f>C39*C40/100</f>
        <v>18018.018018018018</v>
      </c>
      <c r="D41" s="12" t="s">
        <v>74</v>
      </c>
      <c r="E41" s="13"/>
      <c r="F41" s="11"/>
      <c r="G41" s="11"/>
      <c r="H41" s="12"/>
    </row>
    <row r="42" spans="2:17" ht="13.5" thickBot="1" x14ac:dyDescent="0.25">
      <c r="B42" s="21" t="s">
        <v>26</v>
      </c>
      <c r="C42" s="68">
        <f>C37/C41*100</f>
        <v>22.866</v>
      </c>
      <c r="D42" s="79" t="s">
        <v>86</v>
      </c>
      <c r="E42" s="26"/>
      <c r="F42" s="27"/>
      <c r="G42" s="27"/>
      <c r="H42" s="46"/>
    </row>
    <row r="43" spans="2:17" ht="13.5" thickBot="1" x14ac:dyDescent="0.25">
      <c r="B43" s="47"/>
      <c r="C43" s="117"/>
      <c r="D43" s="47"/>
      <c r="E43" s="11"/>
      <c r="F43" s="11"/>
      <c r="G43" s="11"/>
      <c r="H43" s="11"/>
    </row>
    <row r="44" spans="2:17" ht="18.75" thickBot="1" x14ac:dyDescent="0.3">
      <c r="B44" s="108" t="s">
        <v>98</v>
      </c>
      <c r="C44" s="109"/>
      <c r="D44" s="109"/>
      <c r="E44" s="109"/>
      <c r="F44" s="109"/>
      <c r="G44" s="109"/>
      <c r="H44" s="110"/>
    </row>
    <row r="45" spans="2:17" ht="13.5" thickBot="1" x14ac:dyDescent="0.25">
      <c r="B45" s="6"/>
      <c r="C45" s="7"/>
      <c r="D45" s="7"/>
      <c r="E45" s="7"/>
      <c r="F45" s="7"/>
      <c r="G45" s="7"/>
      <c r="H45" s="8"/>
    </row>
    <row r="46" spans="2:17" x14ac:dyDescent="0.2">
      <c r="B46" s="22" t="s">
        <v>66</v>
      </c>
      <c r="C46" s="10">
        <f>IF(C27=0,C41,C27)</f>
        <v>20000</v>
      </c>
      <c r="D46" s="76" t="s">
        <v>74</v>
      </c>
      <c r="E46" s="22" t="s">
        <v>99</v>
      </c>
      <c r="F46" s="7"/>
      <c r="G46" s="70">
        <v>35000</v>
      </c>
      <c r="H46" s="8" t="s">
        <v>17</v>
      </c>
    </row>
    <row r="47" spans="2:17" x14ac:dyDescent="0.2">
      <c r="B47" s="43" t="s">
        <v>102</v>
      </c>
      <c r="C47" s="14">
        <v>60</v>
      </c>
      <c r="D47" s="77" t="s">
        <v>34</v>
      </c>
      <c r="E47" s="43" t="s">
        <v>87</v>
      </c>
      <c r="F47" s="11"/>
      <c r="G47" s="71">
        <v>0.4</v>
      </c>
      <c r="H47" s="12"/>
      <c r="L47" s="115"/>
    </row>
    <row r="48" spans="2:17" x14ac:dyDescent="0.2">
      <c r="B48" s="43" t="s">
        <v>100</v>
      </c>
      <c r="C48" s="119">
        <v>3</v>
      </c>
      <c r="D48" s="77"/>
      <c r="E48" s="43" t="s">
        <v>88</v>
      </c>
      <c r="F48" s="11"/>
      <c r="G48" s="72">
        <f>G46*0.6</f>
        <v>21000</v>
      </c>
      <c r="H48" s="12"/>
      <c r="L48" s="115"/>
    </row>
    <row r="49" spans="2:16" x14ac:dyDescent="0.2">
      <c r="B49" s="13" t="s">
        <v>19</v>
      </c>
      <c r="C49" s="15">
        <v>300</v>
      </c>
      <c r="D49" s="77" t="s">
        <v>30</v>
      </c>
      <c r="E49" s="13" t="s">
        <v>69</v>
      </c>
      <c r="F49" s="11"/>
      <c r="G49" s="23">
        <v>4</v>
      </c>
      <c r="H49" s="12" t="s">
        <v>23</v>
      </c>
      <c r="L49" s="115"/>
    </row>
    <row r="50" spans="2:16" x14ac:dyDescent="0.2">
      <c r="B50" s="13"/>
      <c r="C50" s="118"/>
      <c r="D50" s="77"/>
      <c r="E50" s="13" t="s">
        <v>67</v>
      </c>
      <c r="F50" s="11"/>
      <c r="G50" s="84">
        <v>20</v>
      </c>
      <c r="H50" s="12" t="s">
        <v>29</v>
      </c>
    </row>
    <row r="51" spans="2:16" x14ac:dyDescent="0.2">
      <c r="B51" s="16" t="s">
        <v>101</v>
      </c>
      <c r="C51" s="17">
        <f>(C46/C48*C47/100)+C49</f>
        <v>4300</v>
      </c>
      <c r="D51" s="77" t="s">
        <v>30</v>
      </c>
      <c r="E51" s="13" t="s">
        <v>68</v>
      </c>
      <c r="F51" s="11"/>
      <c r="G51" s="75">
        <f>(G48/G50)+(G48*G49/100/2)</f>
        <v>1470</v>
      </c>
      <c r="H51" s="12" t="s">
        <v>30</v>
      </c>
    </row>
    <row r="52" spans="2:16" ht="15" x14ac:dyDescent="0.25">
      <c r="B52" s="13"/>
      <c r="C52" s="11"/>
      <c r="D52" s="12"/>
      <c r="E52" s="20" t="s">
        <v>31</v>
      </c>
      <c r="F52" s="11"/>
      <c r="G52" s="58">
        <f>G51+C51</f>
        <v>5770</v>
      </c>
      <c r="H52" s="24" t="s">
        <v>30</v>
      </c>
    </row>
    <row r="53" spans="2:16" x14ac:dyDescent="0.2">
      <c r="B53" s="120"/>
      <c r="C53" s="118"/>
      <c r="D53" s="121"/>
      <c r="E53" s="13" t="s">
        <v>70</v>
      </c>
      <c r="F53" s="11"/>
      <c r="G53" s="25">
        <f>G51/C46*100</f>
        <v>7.35</v>
      </c>
      <c r="H53" s="12" t="s">
        <v>86</v>
      </c>
      <c r="M53" s="116"/>
    </row>
    <row r="54" spans="2:16" x14ac:dyDescent="0.2">
      <c r="B54" s="120"/>
      <c r="C54" s="122"/>
      <c r="D54" s="121"/>
      <c r="E54" s="43" t="s">
        <v>40</v>
      </c>
      <c r="F54" s="11"/>
      <c r="G54" s="25">
        <f>C55</f>
        <v>21.5</v>
      </c>
      <c r="H54" s="12" t="s">
        <v>86</v>
      </c>
    </row>
    <row r="55" spans="2:16" ht="15.75" thickBot="1" x14ac:dyDescent="0.3">
      <c r="B55" s="21" t="s">
        <v>26</v>
      </c>
      <c r="C55" s="68">
        <f>C51/C46*100</f>
        <v>21.5</v>
      </c>
      <c r="D55" s="79" t="s">
        <v>86</v>
      </c>
      <c r="E55" s="21" t="s">
        <v>32</v>
      </c>
      <c r="F55" s="124"/>
      <c r="G55" s="125">
        <f>G54+G53</f>
        <v>28.85</v>
      </c>
      <c r="H55" s="79" t="s">
        <v>86</v>
      </c>
    </row>
    <row r="56" spans="2:16" ht="13.5" thickBot="1" x14ac:dyDescent="0.25"/>
    <row r="57" spans="2:16" ht="18.75" thickBot="1" x14ac:dyDescent="0.3">
      <c r="B57" s="108" t="s">
        <v>37</v>
      </c>
      <c r="C57" s="109"/>
      <c r="D57" s="109"/>
      <c r="E57" s="109"/>
      <c r="F57" s="109"/>
      <c r="G57" s="109"/>
      <c r="H57" s="110"/>
    </row>
    <row r="58" spans="2:16" ht="13.5" thickBot="1" x14ac:dyDescent="0.25">
      <c r="B58" s="13"/>
      <c r="C58" s="11"/>
      <c r="D58" s="11"/>
      <c r="E58" s="11"/>
      <c r="F58" s="11"/>
      <c r="G58" s="11"/>
      <c r="H58" s="12"/>
      <c r="P58" s="123"/>
    </row>
    <row r="59" spans="2:16" x14ac:dyDescent="0.2">
      <c r="B59" s="64" t="s">
        <v>94</v>
      </c>
      <c r="C59" s="10">
        <f>IF(C41=0,C27,C41)</f>
        <v>18018.018018018018</v>
      </c>
      <c r="D59" s="76" t="s">
        <v>73</v>
      </c>
      <c r="E59" s="64" t="s">
        <v>56</v>
      </c>
      <c r="F59" s="7"/>
      <c r="G59" s="70">
        <v>8500</v>
      </c>
      <c r="H59" s="8" t="s">
        <v>17</v>
      </c>
      <c r="P59" s="123"/>
    </row>
    <row r="60" spans="2:16" x14ac:dyDescent="0.2">
      <c r="B60" s="43" t="s">
        <v>95</v>
      </c>
      <c r="C60" s="14">
        <v>14</v>
      </c>
      <c r="D60" s="77" t="s">
        <v>34</v>
      </c>
      <c r="E60" s="20" t="s">
        <v>39</v>
      </c>
      <c r="F60" s="11"/>
      <c r="G60" s="70">
        <v>12000</v>
      </c>
      <c r="H60" s="12"/>
    </row>
    <row r="61" spans="2:16" ht="12.75" customHeight="1" x14ac:dyDescent="0.2">
      <c r="B61" s="43" t="s">
        <v>48</v>
      </c>
      <c r="C61" s="57">
        <v>400</v>
      </c>
      <c r="D61" s="78" t="s">
        <v>49</v>
      </c>
      <c r="E61" s="43" t="s">
        <v>87</v>
      </c>
      <c r="F61" s="11"/>
      <c r="G61" s="71">
        <v>0.4</v>
      </c>
      <c r="H61" s="12"/>
    </row>
    <row r="62" spans="2:16" x14ac:dyDescent="0.2">
      <c r="B62" s="43"/>
      <c r="C62" s="97"/>
      <c r="D62" s="78"/>
      <c r="E62" s="43" t="s">
        <v>88</v>
      </c>
      <c r="F62" s="11"/>
      <c r="G62" s="72">
        <f>(G60+G59)*0.6</f>
        <v>12300</v>
      </c>
      <c r="H62" s="12"/>
    </row>
    <row r="63" spans="2:16" x14ac:dyDescent="0.2">
      <c r="B63" s="20" t="s">
        <v>38</v>
      </c>
      <c r="C63" s="15">
        <f>(C59*C60/100)+C61</f>
        <v>2922.5225225225226</v>
      </c>
      <c r="D63" s="77" t="s">
        <v>30</v>
      </c>
      <c r="E63" s="13" t="s">
        <v>27</v>
      </c>
      <c r="F63" s="11"/>
      <c r="G63" s="23">
        <v>4</v>
      </c>
      <c r="H63" s="12" t="s">
        <v>23</v>
      </c>
    </row>
    <row r="64" spans="2:16" x14ac:dyDescent="0.2">
      <c r="B64" s="13" t="s">
        <v>19</v>
      </c>
      <c r="C64" s="15">
        <v>100</v>
      </c>
      <c r="D64" s="12" t="s">
        <v>17</v>
      </c>
      <c r="E64" s="13" t="s">
        <v>28</v>
      </c>
      <c r="F64" s="11"/>
      <c r="G64" s="23">
        <v>25</v>
      </c>
      <c r="H64" s="12" t="s">
        <v>29</v>
      </c>
    </row>
    <row r="65" spans="1:8" x14ac:dyDescent="0.2">
      <c r="B65" s="13" t="s">
        <v>21</v>
      </c>
      <c r="C65" s="15">
        <v>0</v>
      </c>
      <c r="D65" s="12" t="s">
        <v>17</v>
      </c>
      <c r="E65" s="13" t="s">
        <v>68</v>
      </c>
      <c r="F65" s="11"/>
      <c r="G65" s="75">
        <f>((G48)/G64)+((G48)*G63/100/2)</f>
        <v>1260</v>
      </c>
      <c r="H65" s="12" t="s">
        <v>30</v>
      </c>
    </row>
    <row r="66" spans="1:8" ht="15" x14ac:dyDescent="0.25">
      <c r="B66" s="16" t="s">
        <v>35</v>
      </c>
      <c r="C66" s="17">
        <f>SUM(C63:C65)</f>
        <v>3022.5225225225226</v>
      </c>
      <c r="D66" s="12" t="s">
        <v>17</v>
      </c>
      <c r="E66" s="20" t="s">
        <v>31</v>
      </c>
      <c r="F66" s="11"/>
      <c r="G66" s="58">
        <f>G65+C66</f>
        <v>4282.5225225225222</v>
      </c>
      <c r="H66" s="24" t="s">
        <v>30</v>
      </c>
    </row>
    <row r="67" spans="1:8" x14ac:dyDescent="0.2">
      <c r="B67" s="13"/>
      <c r="C67" s="11"/>
      <c r="D67" s="12"/>
      <c r="E67" s="13" t="s">
        <v>54</v>
      </c>
      <c r="F67" s="11"/>
      <c r="G67" s="25">
        <f>G65/C70*100</f>
        <v>6.9930000000000003</v>
      </c>
      <c r="H67" s="12" t="s">
        <v>86</v>
      </c>
    </row>
    <row r="68" spans="1:8" x14ac:dyDescent="0.2">
      <c r="B68" s="13" t="s">
        <v>22</v>
      </c>
      <c r="C68" s="83">
        <f>C59</f>
        <v>18018.018018018018</v>
      </c>
      <c r="D68" s="12" t="s">
        <v>74</v>
      </c>
      <c r="E68" s="20" t="s">
        <v>40</v>
      </c>
      <c r="F68" s="11"/>
      <c r="G68" s="25">
        <f>C72</f>
        <v>16.775000000000002</v>
      </c>
      <c r="H68" s="12" t="s">
        <v>86</v>
      </c>
    </row>
    <row r="69" spans="1:8" ht="15" x14ac:dyDescent="0.25">
      <c r="B69" s="13" t="s">
        <v>75</v>
      </c>
      <c r="C69" s="19">
        <v>100</v>
      </c>
      <c r="D69" s="12" t="s">
        <v>23</v>
      </c>
      <c r="E69" s="16" t="s">
        <v>32</v>
      </c>
      <c r="F69" s="47"/>
      <c r="G69" s="69">
        <f>G68+G67</f>
        <v>23.768000000000001</v>
      </c>
      <c r="H69" s="18" t="s">
        <v>86</v>
      </c>
    </row>
    <row r="70" spans="1:8" x14ac:dyDescent="0.2">
      <c r="B70" s="13" t="s">
        <v>24</v>
      </c>
      <c r="C70" s="15">
        <f>C68*C69/100</f>
        <v>18018.018018018018</v>
      </c>
      <c r="D70" s="12" t="s">
        <v>74</v>
      </c>
      <c r="E70" s="13"/>
      <c r="F70" s="11"/>
      <c r="G70" s="11"/>
      <c r="H70" s="12"/>
    </row>
    <row r="71" spans="1:8" x14ac:dyDescent="0.2">
      <c r="A71" s="11"/>
      <c r="B71" s="13" t="s">
        <v>35</v>
      </c>
      <c r="C71" s="57">
        <f>C66</f>
        <v>3022.5225225225226</v>
      </c>
      <c r="D71" s="12" t="s">
        <v>17</v>
      </c>
      <c r="E71" s="13"/>
      <c r="F71" s="11"/>
      <c r="G71" s="11"/>
      <c r="H71" s="12"/>
    </row>
    <row r="72" spans="1:8" ht="13.5" thickBot="1" x14ac:dyDescent="0.25">
      <c r="A72" s="11"/>
      <c r="B72" s="21" t="s">
        <v>26</v>
      </c>
      <c r="C72" s="68">
        <f>C71/C70*100</f>
        <v>16.775000000000002</v>
      </c>
      <c r="D72" s="79" t="s">
        <v>34</v>
      </c>
      <c r="E72" s="26"/>
      <c r="F72" s="27"/>
      <c r="G72" s="27"/>
      <c r="H72" s="46"/>
    </row>
    <row r="73" spans="1:8" ht="13.5" thickBot="1" x14ac:dyDescent="0.25">
      <c r="A73" s="11"/>
    </row>
    <row r="74" spans="1:8" ht="15.75" x14ac:dyDescent="0.25">
      <c r="A74" s="11"/>
      <c r="B74" s="127" t="s">
        <v>89</v>
      </c>
      <c r="C74" s="128"/>
      <c r="D74" s="45"/>
    </row>
    <row r="75" spans="1:8" ht="24.75" customHeight="1" x14ac:dyDescent="0.25">
      <c r="A75" s="11"/>
      <c r="B75" s="129"/>
      <c r="C75" s="130"/>
      <c r="D75" s="45"/>
    </row>
    <row r="76" spans="1:8" ht="10.5" customHeight="1" x14ac:dyDescent="0.2">
      <c r="A76" s="11"/>
      <c r="B76" s="131"/>
      <c r="C76" s="132"/>
    </row>
    <row r="77" spans="1:8" ht="12.75" customHeight="1" x14ac:dyDescent="0.2">
      <c r="A77" s="11"/>
      <c r="B77" s="112" t="s">
        <v>91</v>
      </c>
      <c r="C77" s="113" t="s">
        <v>90</v>
      </c>
    </row>
    <row r="78" spans="1:8" x14ac:dyDescent="0.2">
      <c r="A78" s="11"/>
      <c r="B78" s="112"/>
      <c r="C78" s="113"/>
    </row>
    <row r="79" spans="1:8" x14ac:dyDescent="0.2">
      <c r="A79" s="11"/>
      <c r="B79" s="112"/>
      <c r="C79" s="113"/>
    </row>
    <row r="80" spans="1:8" x14ac:dyDescent="0.2">
      <c r="A80" s="11"/>
      <c r="B80" s="28" t="s">
        <v>10</v>
      </c>
      <c r="C80" s="29">
        <f>G25</f>
        <v>27.599999999999998</v>
      </c>
    </row>
    <row r="81" spans="1:9" x14ac:dyDescent="0.2">
      <c r="A81" s="30"/>
      <c r="B81" s="31" t="s">
        <v>41</v>
      </c>
      <c r="C81" s="29">
        <f>G39</f>
        <v>30.635999999999999</v>
      </c>
    </row>
    <row r="82" spans="1:9" x14ac:dyDescent="0.2">
      <c r="A82" s="32"/>
      <c r="B82" s="28" t="s">
        <v>103</v>
      </c>
      <c r="C82" s="29">
        <f>G55</f>
        <v>28.85</v>
      </c>
    </row>
    <row r="83" spans="1:9" x14ac:dyDescent="0.2">
      <c r="A83" s="32"/>
      <c r="B83" s="28" t="s">
        <v>42</v>
      </c>
      <c r="C83" s="29">
        <f>G69</f>
        <v>23.768000000000001</v>
      </c>
    </row>
    <row r="84" spans="1:9" x14ac:dyDescent="0.2">
      <c r="A84" s="11"/>
      <c r="B84" s="133"/>
      <c r="C84" s="134"/>
    </row>
    <row r="85" spans="1:9" ht="9.75" customHeight="1" x14ac:dyDescent="0.2">
      <c r="A85" s="11"/>
      <c r="B85" s="112" t="s">
        <v>43</v>
      </c>
      <c r="C85" s="113" t="s">
        <v>44</v>
      </c>
    </row>
    <row r="86" spans="1:9" x14ac:dyDescent="0.2">
      <c r="A86" s="33"/>
      <c r="B86" s="112"/>
      <c r="C86" s="113"/>
    </row>
    <row r="87" spans="1:9" x14ac:dyDescent="0.2">
      <c r="A87" s="11"/>
      <c r="B87" s="28" t="s">
        <v>10</v>
      </c>
      <c r="C87" s="34">
        <f>G22</f>
        <v>5520</v>
      </c>
      <c r="D87" s="11"/>
    </row>
    <row r="88" spans="1:9" x14ac:dyDescent="0.2">
      <c r="A88" s="11"/>
      <c r="B88" s="31" t="s">
        <v>41</v>
      </c>
      <c r="C88" s="34">
        <f>G36</f>
        <v>5520</v>
      </c>
      <c r="D88" s="52"/>
    </row>
    <row r="89" spans="1:9" x14ac:dyDescent="0.2">
      <c r="A89" s="11"/>
      <c r="B89" s="28" t="s">
        <v>103</v>
      </c>
      <c r="C89" s="34">
        <f>G52</f>
        <v>5770</v>
      </c>
      <c r="D89" s="52"/>
    </row>
    <row r="90" spans="1:9" ht="13.5" thickBot="1" x14ac:dyDescent="0.25">
      <c r="A90" s="11"/>
      <c r="B90" s="54" t="s">
        <v>42</v>
      </c>
      <c r="C90" s="55">
        <f>G66</f>
        <v>4282.5225225225222</v>
      </c>
      <c r="D90" s="53"/>
    </row>
    <row r="91" spans="1:9" ht="12.75" customHeight="1" thickBot="1" x14ac:dyDescent="0.25">
      <c r="A91" s="11"/>
      <c r="B91" s="33"/>
      <c r="C91" s="126"/>
      <c r="D91" s="53"/>
    </row>
    <row r="92" spans="1:9" ht="36.75" customHeight="1" thickBot="1" x14ac:dyDescent="0.25">
      <c r="B92" s="135"/>
      <c r="C92" s="137" t="s">
        <v>51</v>
      </c>
      <c r="D92" s="138" t="s">
        <v>50</v>
      </c>
    </row>
    <row r="93" spans="1:9" ht="31.5" customHeight="1" thickBot="1" x14ac:dyDescent="0.25">
      <c r="B93" s="35"/>
      <c r="C93" s="36"/>
      <c r="D93" s="51"/>
    </row>
    <row r="94" spans="1:9" ht="15.75" customHeight="1" x14ac:dyDescent="0.25">
      <c r="B94" s="37" t="s">
        <v>45</v>
      </c>
      <c r="C94" s="38">
        <f>C87-C90</f>
        <v>1237.4774774774778</v>
      </c>
      <c r="D94" s="39">
        <f>C94*10</f>
        <v>12374.774774774778</v>
      </c>
      <c r="F94" s="89"/>
      <c r="G94" s="89"/>
      <c r="H94" s="89"/>
      <c r="I94" s="89"/>
    </row>
    <row r="95" spans="1:9" ht="15.75" thickBot="1" x14ac:dyDescent="0.3">
      <c r="B95" s="40" t="s">
        <v>46</v>
      </c>
      <c r="C95" s="41">
        <f>C88-C90</f>
        <v>1237.4774774774778</v>
      </c>
      <c r="D95" s="41">
        <f>C95*10</f>
        <v>12374.774774774778</v>
      </c>
      <c r="F95" s="89"/>
      <c r="G95" s="89"/>
      <c r="H95" s="89"/>
      <c r="I95" s="89"/>
    </row>
    <row r="96" spans="1:9" ht="15.75" thickBot="1" x14ac:dyDescent="0.3">
      <c r="B96" s="40" t="s">
        <v>107</v>
      </c>
      <c r="C96" s="41">
        <f>C89-C90</f>
        <v>1487.4774774774778</v>
      </c>
      <c r="D96" s="41">
        <f>C96*10</f>
        <v>14874.774774774778</v>
      </c>
      <c r="F96" s="89"/>
      <c r="G96" s="89"/>
      <c r="H96" s="89"/>
      <c r="I96" s="89"/>
    </row>
    <row r="97" spans="2:9" x14ac:dyDescent="0.2">
      <c r="B97" s="42"/>
      <c r="C97" s="42"/>
      <c r="D97" s="42"/>
      <c r="F97" s="89"/>
      <c r="G97" s="89"/>
      <c r="H97" s="89"/>
      <c r="I97" s="89"/>
    </row>
    <row r="98" spans="2:9" x14ac:dyDescent="0.2">
      <c r="D98" s="42"/>
      <c r="F98" s="89"/>
      <c r="G98" s="89"/>
      <c r="H98" s="89"/>
      <c r="I98" s="89"/>
    </row>
    <row r="99" spans="2:9" x14ac:dyDescent="0.2">
      <c r="F99" s="89"/>
      <c r="G99" s="89"/>
      <c r="H99" s="89"/>
      <c r="I99" s="89"/>
    </row>
    <row r="100" spans="2:9" ht="15" x14ac:dyDescent="0.25">
      <c r="B100" s="114" t="s">
        <v>93</v>
      </c>
      <c r="C100" s="114"/>
      <c r="D100" s="114"/>
      <c r="E100" s="114"/>
      <c r="F100" s="90"/>
      <c r="G100" s="90"/>
      <c r="H100" s="90"/>
      <c r="I100" s="89"/>
    </row>
    <row r="101" spans="2:9" ht="15" x14ac:dyDescent="0.25">
      <c r="B101" s="88"/>
      <c r="C101" s="88"/>
      <c r="D101" s="88"/>
      <c r="E101" s="88"/>
      <c r="F101" s="90"/>
      <c r="G101" s="90"/>
      <c r="H101" s="90"/>
      <c r="I101" s="89"/>
    </row>
    <row r="102" spans="2:9" x14ac:dyDescent="0.2">
      <c r="B102" s="95">
        <f>C94</f>
        <v>1237.4774774774778</v>
      </c>
      <c r="C102" s="87">
        <f>C18</f>
        <v>2500</v>
      </c>
      <c r="D102" s="139" t="s">
        <v>104</v>
      </c>
      <c r="E102" s="139"/>
      <c r="F102" s="91"/>
      <c r="G102" s="89"/>
      <c r="H102" s="89"/>
      <c r="I102" s="89"/>
    </row>
    <row r="103" spans="2:9" x14ac:dyDescent="0.2">
      <c r="B103" s="66">
        <v>1.1000000000000001</v>
      </c>
      <c r="C103" s="65">
        <f t="dataTable" ref="C103:C106" dt2D="1" dtr="1" r1="C18" r2="C19" ca="1"/>
        <v>237.47747747747781</v>
      </c>
      <c r="D103" s="139"/>
      <c r="E103" s="139"/>
      <c r="F103" s="92"/>
      <c r="G103" s="89"/>
      <c r="H103" s="89"/>
      <c r="I103" s="89"/>
    </row>
    <row r="104" spans="2:9" x14ac:dyDescent="0.2">
      <c r="B104" s="66">
        <v>1.3</v>
      </c>
      <c r="C104" s="65">
        <v>737.47747747747781</v>
      </c>
      <c r="D104" s="139"/>
      <c r="E104" s="139"/>
      <c r="F104" s="92"/>
      <c r="G104" s="89"/>
      <c r="H104" s="89"/>
      <c r="I104" s="89"/>
    </row>
    <row r="105" spans="2:9" x14ac:dyDescent="0.2">
      <c r="B105" s="66">
        <v>1.5</v>
      </c>
      <c r="C105" s="65">
        <v>1237.4774774774778</v>
      </c>
      <c r="D105" s="139"/>
      <c r="E105" s="139"/>
      <c r="F105" s="92"/>
      <c r="G105" s="89"/>
      <c r="H105" s="89"/>
      <c r="I105" s="89"/>
    </row>
    <row r="106" spans="2:9" x14ac:dyDescent="0.2">
      <c r="B106" s="66">
        <v>1.8</v>
      </c>
      <c r="C106" s="65">
        <v>1987.4774774774778</v>
      </c>
      <c r="D106" s="139"/>
      <c r="E106" s="139"/>
      <c r="F106" s="92"/>
      <c r="G106" s="89"/>
      <c r="H106" s="89"/>
      <c r="I106" s="89"/>
    </row>
    <row r="107" spans="2:9" x14ac:dyDescent="0.2">
      <c r="D107" s="140"/>
      <c r="E107" s="140"/>
      <c r="F107" s="89"/>
      <c r="G107" s="89"/>
      <c r="H107" s="89"/>
      <c r="I107" s="89"/>
    </row>
    <row r="108" spans="2:9" ht="12.75" customHeight="1" x14ac:dyDescent="0.2">
      <c r="B108" s="94">
        <f>C95</f>
        <v>1237.4774774774778</v>
      </c>
      <c r="C108" s="86">
        <f>C32</f>
        <v>25000</v>
      </c>
      <c r="D108" s="139" t="s">
        <v>105</v>
      </c>
      <c r="E108" s="139"/>
      <c r="F108" s="93"/>
      <c r="G108" s="89"/>
      <c r="H108" s="89"/>
      <c r="I108" s="89"/>
    </row>
    <row r="109" spans="2:9" x14ac:dyDescent="0.2">
      <c r="B109" s="85">
        <v>11</v>
      </c>
      <c r="C109" s="65">
        <f t="dataTable" ref="C109:C112" dt2D="1" dtr="1" r1="C32" r2="C33" ca="1"/>
        <v>237.47747747747781</v>
      </c>
      <c r="D109" s="139"/>
      <c r="E109" s="139"/>
      <c r="F109" s="92"/>
      <c r="G109" s="89"/>
      <c r="H109" s="89"/>
      <c r="I109" s="89"/>
    </row>
    <row r="110" spans="2:9" x14ac:dyDescent="0.2">
      <c r="B110" s="85">
        <v>13</v>
      </c>
      <c r="C110" s="65">
        <v>737.47747747747781</v>
      </c>
      <c r="D110" s="139"/>
      <c r="E110" s="139"/>
      <c r="F110" s="92"/>
      <c r="G110" s="89"/>
      <c r="H110" s="89"/>
      <c r="I110" s="89"/>
    </row>
    <row r="111" spans="2:9" x14ac:dyDescent="0.2">
      <c r="B111" s="85">
        <v>15</v>
      </c>
      <c r="C111" s="65">
        <v>1237.4774774774778</v>
      </c>
      <c r="D111" s="139"/>
      <c r="E111" s="139"/>
      <c r="F111" s="92"/>
      <c r="G111" s="89"/>
      <c r="H111" s="89"/>
      <c r="I111" s="89"/>
    </row>
    <row r="112" spans="2:9" x14ac:dyDescent="0.2">
      <c r="B112" s="85">
        <v>25</v>
      </c>
      <c r="C112" s="65">
        <v>3737.4774774774778</v>
      </c>
      <c r="D112" s="139"/>
      <c r="E112" s="139"/>
      <c r="F112" s="92"/>
      <c r="G112" s="89"/>
      <c r="H112" s="89"/>
      <c r="I112" s="89"/>
    </row>
    <row r="113" spans="2:9" x14ac:dyDescent="0.2">
      <c r="D113" s="140"/>
      <c r="E113" s="140"/>
      <c r="F113" s="89"/>
      <c r="G113" s="89"/>
      <c r="H113" s="89"/>
      <c r="I113" s="89"/>
    </row>
    <row r="114" spans="2:9" x14ac:dyDescent="0.2">
      <c r="B114" s="94">
        <f>C96</f>
        <v>1487.4774774774778</v>
      </c>
      <c r="C114" s="86">
        <f>C46</f>
        <v>20000</v>
      </c>
      <c r="D114" s="139" t="s">
        <v>106</v>
      </c>
      <c r="E114" s="139"/>
      <c r="F114" s="89"/>
      <c r="G114" s="89"/>
      <c r="H114" s="89"/>
      <c r="I114" s="89"/>
    </row>
    <row r="115" spans="2:9" x14ac:dyDescent="0.2">
      <c r="B115" s="136">
        <v>40</v>
      </c>
      <c r="C115" s="65">
        <f t="dataTable" ref="C115:C118" dt2D="1" dtr="1" r1="C46" r2="C47" ca="1"/>
        <v>154.14414414414478</v>
      </c>
      <c r="D115" s="139"/>
      <c r="E115" s="139"/>
    </row>
    <row r="116" spans="2:9" x14ac:dyDescent="0.2">
      <c r="B116" s="136">
        <v>60</v>
      </c>
      <c r="C116" s="65">
        <v>1487.4774774774778</v>
      </c>
      <c r="D116" s="139"/>
      <c r="E116" s="139"/>
    </row>
    <row r="117" spans="2:9" x14ac:dyDescent="0.2">
      <c r="B117" s="136">
        <v>70</v>
      </c>
      <c r="C117" s="65">
        <v>2154.1441441441448</v>
      </c>
      <c r="D117" s="139"/>
      <c r="E117" s="139"/>
    </row>
    <row r="118" spans="2:9" x14ac:dyDescent="0.2">
      <c r="B118" s="136">
        <v>100</v>
      </c>
      <c r="C118" s="65">
        <v>4154.1441441441457</v>
      </c>
      <c r="D118" s="139"/>
      <c r="E118" s="139"/>
    </row>
  </sheetData>
  <mergeCells count="20">
    <mergeCell ref="D114:E118"/>
    <mergeCell ref="Q14:S14"/>
    <mergeCell ref="B16:H16"/>
    <mergeCell ref="B30:H30"/>
    <mergeCell ref="D102:E106"/>
    <mergeCell ref="D108:E112"/>
    <mergeCell ref="B85:B86"/>
    <mergeCell ref="C85:C86"/>
    <mergeCell ref="B77:B79"/>
    <mergeCell ref="C77:C79"/>
    <mergeCell ref="B74:C75"/>
    <mergeCell ref="B76:C76"/>
    <mergeCell ref="B100:E100"/>
    <mergeCell ref="B44:H44"/>
    <mergeCell ref="B2:H2"/>
    <mergeCell ref="B3:H3"/>
    <mergeCell ref="C5:D5"/>
    <mergeCell ref="C6:D6"/>
    <mergeCell ref="B57:H57"/>
    <mergeCell ref="C7:D7"/>
  </mergeCells>
  <conditionalFormatting sqref="C103:C106 F103:F106">
    <cfRule type="colorScale" priority="3">
      <colorScale>
        <cfvo type="min"/>
        <cfvo type="max"/>
        <color rgb="FFFCFCFF"/>
        <color rgb="FF63BE7B"/>
      </colorScale>
    </cfRule>
  </conditionalFormatting>
  <conditionalFormatting sqref="C109:C112 F109:F112">
    <cfRule type="colorScale" priority="2">
      <colorScale>
        <cfvo type="min"/>
        <cfvo type="max"/>
        <color rgb="FFFCFCFF"/>
        <color rgb="FF63BE7B"/>
      </colorScale>
    </cfRule>
  </conditionalFormatting>
  <conditionalFormatting sqref="C115:C118">
    <cfRule type="colorScale" priority="1">
      <colorScale>
        <cfvo type="min"/>
        <cfvo type="max"/>
        <color rgb="FFFCFCFF"/>
        <color rgb="FF63BE7B"/>
      </colorScale>
    </cfRule>
  </conditionalFormatting>
  <dataValidations count="4">
    <dataValidation type="list" allowBlank="1" showInputMessage="1" showErrorMessage="1" sqref="C62">
      <formula1>$X$8:$X$9</formula1>
    </dataValidation>
    <dataValidation type="list" allowBlank="1" showInputMessage="1" showErrorMessage="1" sqref="C13">
      <formula1>$Q$11:$Q$12</formula1>
    </dataValidation>
    <dataValidation type="list" allowBlank="1" showInputMessage="1" showErrorMessage="1" sqref="C9">
      <formula1>$Q$3:$Q$7</formula1>
    </dataValidation>
    <dataValidation type="list" allowBlank="1" showInputMessage="1" showErrorMessage="1" sqref="C10">
      <formula1>$S$36:$S$38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2" manualBreakCount="2">
    <brk id="28" max="8" man="1"/>
    <brk id="56" max="8" man="1"/>
  </rowBreaks>
  <colBreaks count="1" manualBreakCount="1">
    <brk id="15" min="1" max="116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B x 3 U 3 6 5 f R y l A A A A 9 Q A A A B I A H A B D b 2 5 m a W c v U G F j a 2 F n Z S 5 4 b W w g o h g A K K A U A A A A A A A A A A A A A A A A A A A A A A A A A A A A h Y + x D o I w G I R f h X S n L T U m S H 7 K o G 6 S m J g Y 1 6 Z U a I R i a L G 8 m 4 O P 5 C u I U d T N 8 b 6 7 S + 7 u 1 x t k Q 1 M H F 9 V Z 3 Z o U R Z i i Q B n Z F t q U K e r d M Y x R x m E r 5 E m U K h j D x i a D 1 S m q n D s n h H j v s Z / h t i s J o z Q i h 3 y z k 5 V q R K i N d c J I h T 6 t 4 n 8 L c d i / x n C G F x T P Y 4 Y p k I l B r s 3 X Z + P c p / s D Y d n X r u 8 U L 1 S 4 W g O Z J J D 3 B f 4 A U E s D B B Q A A g A I A J Q c d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U H H d T K I p H u A 4 A A A A R A A A A E w A c A E Z v c m 1 1 b G F z L 1 N l Y 3 R p b 2 4 x L m 0 g o h g A K K A U A A A A A A A A A A A A A A A A A A A A A A A A A A A A K 0 5 N L s n M z 1 M I h t C G 1 g B Q S w E C L Q A U A A I A C A C U H H d T f r l 9 H K U A A A D 1 A A A A E g A A A A A A A A A A A A A A A A A A A A A A Q 2 9 u Z m l n L 1 B h Y 2 t h Z 2 U u e G 1 s U E s B A i 0 A F A A C A A g A l B x 3 U w / K 6 a u k A A A A 6 Q A A A B M A A A A A A A A A A A A A A A A A 8 Q A A A F t D b 2 5 0 Z W 5 0 X 1 R 5 c G V z X S 5 4 b W x Q S w E C L Q A U A A I A C A C U H H d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G n g / 0 b + D U S W t k o h C w Q m R g A A A A A C A A A A A A A D Z g A A w A A A A B A A A A C t p 4 1 X Y B D 0 X 1 6 z R p L y c L c H A A A A A A S A A A C g A A A A E A A A A C S J / 4 J m j K E 6 A b F 8 L Y Q 6 r P Z Q A A A A s C c j k T R 2 s 9 U R u n 9 9 F 7 w N + t h S T A Q U M q T 6 D 6 W x W + b M m z v + H N e Y Y Y t M e 3 j M X k G q k w X U g P R b S f c I l C Z s x g J c P 3 c w S X l W / 3 S c A x R g f C O d g N x 3 P b c U A A A A y 7 y y t U 3 R 2 0 j + u Y D x h z C j a + O K Q F w = < / D a t a M a s h u p > 
</file>

<file path=customXml/itemProps1.xml><?xml version="1.0" encoding="utf-8"?>
<ds:datastoreItem xmlns:ds="http://schemas.openxmlformats.org/officeDocument/2006/customXml" ds:itemID="{27011540-8E8D-4A93-9C9F-FC573B5F86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Vergleich Pivater anschluss</vt:lpstr>
      <vt:lpstr>'Vergleich Pivater anschluss'!Druckbereich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cp:lastPrinted>2021-11-24T17:57:22Z</cp:lastPrinted>
  <dcterms:created xsi:type="dcterms:W3CDTF">2021-11-16T08:59:20Z</dcterms:created>
  <dcterms:modified xsi:type="dcterms:W3CDTF">2023-02-22T20:56:01Z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DataFormExcel" visible="true"/>
      </mso:documentControls>
    </mso:qat>
  </mso:ribbon>
</mso:customUI>
</file>